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ers\l.avetikyan\Documents\2024\MJCC metodakan cucumner\2025 buget hajt\mer 2025hajty minfin\"/>
    </mc:Choice>
  </mc:AlternateContent>
  <xr:revisionPtr revIDLastSave="0" documentId="13_ncr:1_{C876041D-58FC-4D72-891D-B6719D64F894}" xr6:coauthVersionLast="47" xr6:coauthVersionMax="47" xr10:uidLastSave="{00000000-0000-0000-0000-000000000000}"/>
  <bookViews>
    <workbookView xWindow="-120" yWindow="-120" windowWidth="29040" windowHeight="15840" firstSheet="8" activeTab="10" xr2:uid="{00000000-000D-0000-FFFF-FFFF00000000}"/>
  </bookViews>
  <sheets>
    <sheet name="2014_new (2)" sheetId="12" state="hidden" r:id="rId1"/>
    <sheet name="2016" sheetId="13" state="hidden" r:id="rId2"/>
    <sheet name="2019" sheetId="16" state="hidden" r:id="rId3"/>
    <sheet name="2020_new" sheetId="17" state="hidden" r:id="rId4"/>
    <sheet name="2021_new" sheetId="22" state="hidden" r:id="rId5"/>
    <sheet name="2022_new" sheetId="23" state="hidden" r:id="rId6"/>
    <sheet name="2023_NRSC" sheetId="24" state="hidden" r:id="rId7"/>
    <sheet name="2024_NRSC" sheetId="28" state="hidden" r:id="rId8"/>
    <sheet name="2025_NRSC" sheetId="29" r:id="rId9"/>
    <sheet name="2024_NRSC with lab" sheetId="31" state="hidden" r:id="rId10"/>
    <sheet name="Overhead-NRSC" sheetId="34" r:id="rId11"/>
    <sheet name="2025_NRSC with lab" sheetId="32" state="hidden" r:id="rId12"/>
    <sheet name="2026_NRSC-new" sheetId="35" state="hidden" r:id="rId13"/>
    <sheet name="2026_NRSC" sheetId="30" state="hidden" r:id="rId14"/>
    <sheet name="2024_new" sheetId="26" state="hidden" r:id="rId15"/>
    <sheet name="2025_new" sheetId="27" state="hidden" r:id="rId16"/>
    <sheet name="2021 (2)" sheetId="20" state="hidden" r:id="rId17"/>
    <sheet name="2022 (3)" sheetId="21" state="hidden" r:id="rId18"/>
    <sheet name="2021" sheetId="18" state="hidden" r:id="rId19"/>
    <sheet name="2022" sheetId="19" state="hidden" r:id="rId20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9" l="1"/>
  <c r="H30" i="29"/>
  <c r="H29" i="29"/>
  <c r="H42" i="29"/>
  <c r="H39" i="29"/>
  <c r="E39" i="29" s="1"/>
  <c r="H43" i="29"/>
  <c r="H40" i="29"/>
  <c r="E26" i="34"/>
  <c r="D24" i="29"/>
  <c r="E24" i="29" s="1"/>
  <c r="D23" i="29"/>
  <c r="E23" i="29" s="1"/>
  <c r="H23" i="29" s="1"/>
  <c r="E20" i="29"/>
  <c r="H20" i="29" s="1"/>
  <c r="C48" i="35"/>
  <c r="D26" i="35"/>
  <c r="E26" i="35"/>
  <c r="C47" i="35"/>
  <c r="C46" i="35"/>
  <c r="C45" i="35"/>
  <c r="D27" i="35"/>
  <c r="E27" i="35" s="1"/>
  <c r="D15" i="35"/>
  <c r="E15" i="35"/>
  <c r="D14" i="35"/>
  <c r="E14" i="35" s="1"/>
  <c r="H14" i="35" s="1"/>
  <c r="D12" i="35"/>
  <c r="E12" i="35" s="1"/>
  <c r="D11" i="35"/>
  <c r="E11" i="35" s="1"/>
  <c r="D9" i="35"/>
  <c r="E9" i="35" s="1"/>
  <c r="D8" i="35"/>
  <c r="E8" i="35" s="1"/>
  <c r="D6" i="35"/>
  <c r="E6" i="35" s="1"/>
  <c r="D5" i="35"/>
  <c r="E5" i="35" s="1"/>
  <c r="E21" i="34"/>
  <c r="E23" i="34"/>
  <c r="E24" i="34"/>
  <c r="E25" i="34"/>
  <c r="E22" i="34"/>
  <c r="E20" i="34"/>
  <c r="E19" i="34"/>
  <c r="E18" i="34"/>
  <c r="E17" i="34"/>
  <c r="E16" i="34"/>
  <c r="E14" i="34"/>
  <c r="E13" i="34"/>
  <c r="E12" i="34"/>
  <c r="E10" i="34"/>
  <c r="E9" i="34"/>
  <c r="E8" i="34"/>
  <c r="E6" i="34"/>
  <c r="E5" i="34"/>
  <c r="E27" i="34" s="1"/>
  <c r="E41" i="32"/>
  <c r="C39" i="32"/>
  <c r="C38" i="32"/>
  <c r="C59" i="32"/>
  <c r="D26" i="32" s="1"/>
  <c r="E26" i="32" s="1"/>
  <c r="C58" i="32"/>
  <c r="C57" i="32"/>
  <c r="C56" i="32"/>
  <c r="D38" i="32"/>
  <c r="D39" i="32"/>
  <c r="E39" i="32" s="1"/>
  <c r="D15" i="32"/>
  <c r="E15" i="32" s="1"/>
  <c r="D12" i="32"/>
  <c r="E12" i="32"/>
  <c r="D9" i="32"/>
  <c r="E9" i="32" s="1"/>
  <c r="D6" i="32"/>
  <c r="E6" i="32"/>
  <c r="C59" i="31"/>
  <c r="D26" i="31" s="1"/>
  <c r="E26" i="31" s="1"/>
  <c r="C58" i="31"/>
  <c r="C57" i="31"/>
  <c r="C56" i="31"/>
  <c r="D14" i="31" s="1"/>
  <c r="E14" i="31" s="1"/>
  <c r="D38" i="31"/>
  <c r="E38" i="31" s="1"/>
  <c r="E40" i="31" s="1"/>
  <c r="E44" i="31" s="1"/>
  <c r="D9" i="31"/>
  <c r="E9" i="31" s="1"/>
  <c r="C48" i="30"/>
  <c r="D26" i="30"/>
  <c r="E26" i="30"/>
  <c r="C47" i="30"/>
  <c r="C46" i="30"/>
  <c r="D6" i="30"/>
  <c r="E6" i="30"/>
  <c r="C45" i="30"/>
  <c r="D5" i="30" s="1"/>
  <c r="E5" i="30" s="1"/>
  <c r="D15" i="30"/>
  <c r="E15" i="30" s="1"/>
  <c r="D12" i="30"/>
  <c r="E12" i="30"/>
  <c r="D9" i="30"/>
  <c r="E9" i="30" s="1"/>
  <c r="C57" i="29"/>
  <c r="D35" i="29"/>
  <c r="E35" i="29"/>
  <c r="C56" i="29"/>
  <c r="C55" i="29"/>
  <c r="D18" i="29" s="1"/>
  <c r="E18" i="29" s="1"/>
  <c r="D12" i="29"/>
  <c r="E12" i="29"/>
  <c r="D6" i="29"/>
  <c r="E6" i="29" s="1"/>
  <c r="C54" i="29"/>
  <c r="D20" i="29" s="1"/>
  <c r="D8" i="29"/>
  <c r="E8" i="29" s="1"/>
  <c r="C48" i="28"/>
  <c r="D26" i="28"/>
  <c r="E26" i="28"/>
  <c r="C47" i="28"/>
  <c r="C46" i="28"/>
  <c r="D15" i="28"/>
  <c r="E15" i="28"/>
  <c r="C45" i="28"/>
  <c r="D27" i="28" s="1"/>
  <c r="E27" i="28" s="1"/>
  <c r="D14" i="28"/>
  <c r="E14" i="28" s="1"/>
  <c r="D9" i="28"/>
  <c r="E9" i="28"/>
  <c r="D6" i="28"/>
  <c r="E6" i="28" s="1"/>
  <c r="D9" i="29"/>
  <c r="E9" i="29" s="1"/>
  <c r="D15" i="29"/>
  <c r="E15" i="29"/>
  <c r="D11" i="28"/>
  <c r="E11" i="28" s="1"/>
  <c r="C71" i="27"/>
  <c r="D38" i="27" s="1"/>
  <c r="E38" i="27" s="1"/>
  <c r="E41" i="27" s="1"/>
  <c r="C70" i="27"/>
  <c r="C69" i="27"/>
  <c r="C68" i="27"/>
  <c r="D8" i="27"/>
  <c r="E8" i="27" s="1"/>
  <c r="D39" i="27"/>
  <c r="E39" i="27" s="1"/>
  <c r="D26" i="27"/>
  <c r="E26" i="27"/>
  <c r="D14" i="27"/>
  <c r="E14" i="27"/>
  <c r="D11" i="27"/>
  <c r="E11" i="27" s="1"/>
  <c r="C71" i="26"/>
  <c r="D38" i="26" s="1"/>
  <c r="E38" i="26" s="1"/>
  <c r="C70" i="26"/>
  <c r="C69" i="26"/>
  <c r="C68" i="26"/>
  <c r="D39" i="26" s="1"/>
  <c r="E39" i="26" s="1"/>
  <c r="D15" i="23"/>
  <c r="E15" i="23" s="1"/>
  <c r="E29" i="23"/>
  <c r="D51" i="23"/>
  <c r="E51" i="23" s="1"/>
  <c r="E3" i="19"/>
  <c r="G6" i="19"/>
  <c r="F16" i="19"/>
  <c r="B45" i="19"/>
  <c r="C45" i="19" s="1"/>
  <c r="D3" i="19" s="1"/>
  <c r="B46" i="19"/>
  <c r="C46" i="19"/>
  <c r="D16" i="19" s="1"/>
  <c r="E16" i="19" s="1"/>
  <c r="B47" i="19"/>
  <c r="C47" i="19" s="1"/>
  <c r="B48" i="19"/>
  <c r="C48" i="19"/>
  <c r="D26" i="19" s="1"/>
  <c r="E26" i="19" s="1"/>
  <c r="F6" i="18"/>
  <c r="F16" i="18"/>
  <c r="B53" i="18"/>
  <c r="C53" i="18" s="1"/>
  <c r="B54" i="18"/>
  <c r="C54" i="18" s="1"/>
  <c r="D16" i="18" s="1"/>
  <c r="E16" i="18" s="1"/>
  <c r="B55" i="18"/>
  <c r="C55" i="18" s="1"/>
  <c r="B56" i="18"/>
  <c r="C56" i="18"/>
  <c r="D26" i="18"/>
  <c r="E26" i="18" s="1"/>
  <c r="B53" i="21"/>
  <c r="C53" i="21" s="1"/>
  <c r="D4" i="21" s="1"/>
  <c r="E4" i="21" s="1"/>
  <c r="B54" i="21"/>
  <c r="C54" i="21"/>
  <c r="B55" i="21"/>
  <c r="C55" i="21" s="1"/>
  <c r="B56" i="21"/>
  <c r="C56" i="21"/>
  <c r="D34" i="21"/>
  <c r="E34" i="21" s="1"/>
  <c r="B63" i="20"/>
  <c r="C63" i="20" s="1"/>
  <c r="B64" i="20"/>
  <c r="C64" i="20" s="1"/>
  <c r="D14" i="20" s="1"/>
  <c r="E14" i="20" s="1"/>
  <c r="B65" i="20"/>
  <c r="C65" i="20"/>
  <c r="B66" i="20"/>
  <c r="C66" i="20" s="1"/>
  <c r="D34" i="20" s="1"/>
  <c r="E34" i="20" s="1"/>
  <c r="C45" i="24"/>
  <c r="D8" i="24" s="1"/>
  <c r="E8" i="24"/>
  <c r="C46" i="24"/>
  <c r="C47" i="24"/>
  <c r="C48" i="24"/>
  <c r="D26" i="24"/>
  <c r="E26" i="24" s="1"/>
  <c r="C66" i="23"/>
  <c r="D50" i="23" s="1"/>
  <c r="E50" i="23"/>
  <c r="E52" i="23" s="1"/>
  <c r="H55" i="23" s="1"/>
  <c r="D39" i="23"/>
  <c r="E39" i="23"/>
  <c r="C67" i="23"/>
  <c r="C68" i="23"/>
  <c r="C69" i="23"/>
  <c r="D38" i="23" s="1"/>
  <c r="E38" i="23" s="1"/>
  <c r="E40" i="23" s="1"/>
  <c r="C5" i="22"/>
  <c r="G5" i="23"/>
  <c r="D6" i="22"/>
  <c r="E6" i="22" s="1"/>
  <c r="C8" i="22"/>
  <c r="D8" i="22"/>
  <c r="E8" i="22"/>
  <c r="C11" i="22"/>
  <c r="D26" i="22"/>
  <c r="E26" i="22" s="1"/>
  <c r="E29" i="22"/>
  <c r="D38" i="22"/>
  <c r="E38" i="22" s="1"/>
  <c r="D51" i="22"/>
  <c r="E51" i="22" s="1"/>
  <c r="C68" i="22"/>
  <c r="D11" i="22" s="1"/>
  <c r="E11" i="22" s="1"/>
  <c r="D14" i="22"/>
  <c r="E14" i="22" s="1"/>
  <c r="C69" i="22"/>
  <c r="D12" i="22" s="1"/>
  <c r="E12" i="22"/>
  <c r="C70" i="22"/>
  <c r="C71" i="22"/>
  <c r="G5" i="17"/>
  <c r="D6" i="17"/>
  <c r="E6" i="17"/>
  <c r="H7" i="17"/>
  <c r="H8" i="17"/>
  <c r="D9" i="17"/>
  <c r="E9" i="17"/>
  <c r="E17" i="17"/>
  <c r="C23" i="17"/>
  <c r="I34" i="17"/>
  <c r="C35" i="17"/>
  <c r="D38" i="17"/>
  <c r="E38" i="17" s="1"/>
  <c r="E42" i="17"/>
  <c r="C46" i="17"/>
  <c r="C59" i="17" s="1"/>
  <c r="G51" i="17"/>
  <c r="E53" i="17"/>
  <c r="I64" i="17"/>
  <c r="C65" i="17"/>
  <c r="I65" i="17"/>
  <c r="C66" i="17"/>
  <c r="D15" i="17" s="1"/>
  <c r="E15" i="17" s="1"/>
  <c r="D27" i="17"/>
  <c r="E27" i="17"/>
  <c r="C67" i="17"/>
  <c r="I67" i="17"/>
  <c r="C68" i="17"/>
  <c r="I69" i="17"/>
  <c r="I70" i="17"/>
  <c r="C53" i="16"/>
  <c r="C54" i="16"/>
  <c r="D16" i="16" s="1"/>
  <c r="E16" i="16" s="1"/>
  <c r="C55" i="16"/>
  <c r="C56" i="16"/>
  <c r="D26" i="16" s="1"/>
  <c r="E26" i="16" s="1"/>
  <c r="B56" i="13"/>
  <c r="C56" i="13"/>
  <c r="C57" i="13"/>
  <c r="D28" i="13"/>
  <c r="E28" i="13" s="1"/>
  <c r="C58" i="13"/>
  <c r="C59" i="13"/>
  <c r="C60" i="13"/>
  <c r="D15" i="13" s="1"/>
  <c r="E15" i="13" s="1"/>
  <c r="D14" i="12"/>
  <c r="E14" i="12" s="1"/>
  <c r="C34" i="12"/>
  <c r="D15" i="12" s="1"/>
  <c r="E15" i="12" s="1"/>
  <c r="D3" i="12"/>
  <c r="E3" i="12" s="1"/>
  <c r="C35" i="12"/>
  <c r="C36" i="12"/>
  <c r="C37" i="12"/>
  <c r="D26" i="23"/>
  <c r="E26" i="23" s="1"/>
  <c r="D8" i="23"/>
  <c r="E8" i="23"/>
  <c r="D6" i="26"/>
  <c r="E6" i="26" s="1"/>
  <c r="D8" i="26"/>
  <c r="E8" i="26"/>
  <c r="D26" i="26"/>
  <c r="E26" i="26"/>
  <c r="D50" i="26"/>
  <c r="E50" i="26"/>
  <c r="D5" i="23"/>
  <c r="E5" i="23"/>
  <c r="D11" i="23"/>
  <c r="E11" i="23" s="1"/>
  <c r="D11" i="26"/>
  <c r="E11" i="26"/>
  <c r="D5" i="26"/>
  <c r="E5" i="26" s="1"/>
  <c r="D6" i="27"/>
  <c r="E6" i="27" s="1"/>
  <c r="D12" i="27"/>
  <c r="E12" i="27"/>
  <c r="D27" i="27"/>
  <c r="E27" i="27" s="1"/>
  <c r="D50" i="27"/>
  <c r="E50" i="27"/>
  <c r="D8" i="32"/>
  <c r="E8" i="32" s="1"/>
  <c r="D14" i="32"/>
  <c r="E14" i="32"/>
  <c r="D5" i="32"/>
  <c r="E5" i="32" s="1"/>
  <c r="E16" i="32" s="1"/>
  <c r="D11" i="32"/>
  <c r="E11" i="32"/>
  <c r="D27" i="32"/>
  <c r="E27" i="32" s="1"/>
  <c r="D39" i="31"/>
  <c r="E39" i="31" s="1"/>
  <c r="D27" i="31"/>
  <c r="E27" i="31"/>
  <c r="D5" i="31"/>
  <c r="E5" i="31" s="1"/>
  <c r="D8" i="31"/>
  <c r="E8" i="31"/>
  <c r="D11" i="31"/>
  <c r="E11" i="31" s="1"/>
  <c r="D12" i="28"/>
  <c r="E12" i="28"/>
  <c r="E28" i="28"/>
  <c r="D36" i="29"/>
  <c r="E36" i="29"/>
  <c r="D36" i="16"/>
  <c r="E36" i="16" s="1"/>
  <c r="E37" i="16" s="1"/>
  <c r="D15" i="16"/>
  <c r="E15" i="16"/>
  <c r="E17" i="16" s="1"/>
  <c r="D3" i="16"/>
  <c r="E3" i="16"/>
  <c r="D4" i="16"/>
  <c r="E4" i="16" s="1"/>
  <c r="E7" i="16" s="1"/>
  <c r="D5" i="16"/>
  <c r="E5" i="16"/>
  <c r="D6" i="16"/>
  <c r="E6" i="16" s="1"/>
  <c r="D11" i="17"/>
  <c r="E11" i="17" s="1"/>
  <c r="D5" i="17"/>
  <c r="E5" i="17" s="1"/>
  <c r="D8" i="17"/>
  <c r="E8" i="17" s="1"/>
  <c r="D36" i="13"/>
  <c r="E36" i="13"/>
  <c r="E40" i="27"/>
  <c r="E41" i="23"/>
  <c r="H43" i="23" s="1"/>
  <c r="D27" i="16"/>
  <c r="E27" i="16"/>
  <c r="D29" i="13"/>
  <c r="E29" i="13"/>
  <c r="D37" i="13"/>
  <c r="E37" i="13" s="1"/>
  <c r="D33" i="13"/>
  <c r="E33" i="13"/>
  <c r="D31" i="13"/>
  <c r="E31" i="13" s="1"/>
  <c r="D39" i="13"/>
  <c r="E39" i="13"/>
  <c r="D27" i="13"/>
  <c r="E27" i="13" s="1"/>
  <c r="D35" i="13"/>
  <c r="E35" i="13"/>
  <c r="D4" i="19"/>
  <c r="E4" i="19"/>
  <c r="E7" i="19" s="1"/>
  <c r="D5" i="19"/>
  <c r="E5" i="19"/>
  <c r="D6" i="19"/>
  <c r="E6" i="19" s="1"/>
  <c r="D27" i="19"/>
  <c r="E27" i="19"/>
  <c r="E28" i="19"/>
  <c r="D15" i="19"/>
  <c r="E15" i="19" s="1"/>
  <c r="E17" i="19" s="1"/>
  <c r="D16" i="13"/>
  <c r="E16" i="13" s="1"/>
  <c r="D30" i="13"/>
  <c r="E30" i="13"/>
  <c r="D38" i="13"/>
  <c r="E38" i="13" s="1"/>
  <c r="D34" i="13"/>
  <c r="E34" i="13"/>
  <c r="D3" i="13"/>
  <c r="E3" i="13" s="1"/>
  <c r="D32" i="13"/>
  <c r="E32" i="13"/>
  <c r="D4" i="13"/>
  <c r="E4" i="13" s="1"/>
  <c r="D5" i="13"/>
  <c r="E5" i="13"/>
  <c r="D26" i="13"/>
  <c r="E26" i="13" s="1"/>
  <c r="D6" i="13"/>
  <c r="E6" i="13"/>
  <c r="D5" i="21"/>
  <c r="E5" i="21" s="1"/>
  <c r="D8" i="21"/>
  <c r="E8" i="21"/>
  <c r="D24" i="21"/>
  <c r="E24" i="21"/>
  <c r="D11" i="21"/>
  <c r="E11" i="21"/>
  <c r="D14" i="21"/>
  <c r="E14" i="21"/>
  <c r="E29" i="28"/>
  <c r="D24" i="20"/>
  <c r="E24" i="20" s="1"/>
  <c r="D5" i="20"/>
  <c r="E5" i="20"/>
  <c r="D8" i="20"/>
  <c r="E8" i="20" s="1"/>
  <c r="D46" i="20"/>
  <c r="E46" i="20"/>
  <c r="D11" i="20"/>
  <c r="E11" i="20" s="1"/>
  <c r="D7" i="21"/>
  <c r="E7" i="21" s="1"/>
  <c r="D23" i="21"/>
  <c r="E23" i="21"/>
  <c r="E25" i="21" s="1"/>
  <c r="D10" i="21"/>
  <c r="E10" i="21"/>
  <c r="D13" i="21"/>
  <c r="E13" i="21" s="1"/>
  <c r="D4" i="20"/>
  <c r="E4" i="20" s="1"/>
  <c r="D7" i="20"/>
  <c r="E7" i="20"/>
  <c r="D35" i="21"/>
  <c r="E35" i="21" s="1"/>
  <c r="E37" i="21" s="1"/>
  <c r="E41" i="26"/>
  <c r="D14" i="29"/>
  <c r="E14" i="29"/>
  <c r="H14" i="29"/>
  <c r="D11" i="24"/>
  <c r="E11" i="24" s="1"/>
  <c r="D9" i="22"/>
  <c r="E9" i="22"/>
  <c r="D14" i="24"/>
  <c r="E14" i="24"/>
  <c r="D3" i="18"/>
  <c r="E3" i="18"/>
  <c r="D11" i="29"/>
  <c r="E11" i="29"/>
  <c r="D27" i="24"/>
  <c r="E27" i="24" s="1"/>
  <c r="E29" i="24" s="1"/>
  <c r="H31" i="24" s="1"/>
  <c r="D15" i="18"/>
  <c r="E15" i="18" s="1"/>
  <c r="E17" i="18" s="1"/>
  <c r="D5" i="29"/>
  <c r="E5" i="29"/>
  <c r="D6" i="31"/>
  <c r="E6" i="31" s="1"/>
  <c r="D5" i="12"/>
  <c r="E5" i="12"/>
  <c r="D5" i="24"/>
  <c r="E5" i="24" s="1"/>
  <c r="D27" i="18"/>
  <c r="E27" i="18"/>
  <c r="D14" i="26"/>
  <c r="E14" i="26"/>
  <c r="D4" i="12"/>
  <c r="E4" i="12" s="1"/>
  <c r="D50" i="22"/>
  <c r="E50" i="22"/>
  <c r="E52" i="22" s="1"/>
  <c r="D15" i="22"/>
  <c r="E15" i="22"/>
  <c r="D5" i="22"/>
  <c r="E5" i="22" s="1"/>
  <c r="D12" i="17"/>
  <c r="E12" i="17"/>
  <c r="D5" i="27"/>
  <c r="E5" i="27" s="1"/>
  <c r="D27" i="22"/>
  <c r="E27" i="22" s="1"/>
  <c r="E28" i="22" s="1"/>
  <c r="E32" i="22" s="1"/>
  <c r="E33" i="22" s="1"/>
  <c r="E34" i="22"/>
  <c r="H31" i="28"/>
  <c r="E29" i="19"/>
  <c r="E18" i="19"/>
  <c r="E45" i="31"/>
  <c r="H20" i="32"/>
  <c r="H43" i="26"/>
  <c r="E30" i="19"/>
  <c r="E31" i="19"/>
  <c r="E32" i="19"/>
  <c r="E16" i="35"/>
  <c r="E28" i="35"/>
  <c r="E29" i="35"/>
  <c r="D14" i="30"/>
  <c r="E14" i="30"/>
  <c r="D27" i="30"/>
  <c r="E27" i="30"/>
  <c r="D8" i="30"/>
  <c r="E8" i="30"/>
  <c r="E16" i="30" s="1"/>
  <c r="D11" i="30"/>
  <c r="E11" i="30"/>
  <c r="H31" i="35"/>
  <c r="E29" i="30"/>
  <c r="E28" i="30"/>
  <c r="H31" i="30"/>
  <c r="H19" i="35"/>
  <c r="H30" i="35"/>
  <c r="H28" i="29"/>
  <c r="E18" i="18" l="1"/>
  <c r="E20" i="18" s="1"/>
  <c r="E8" i="16"/>
  <c r="E9" i="16" s="1"/>
  <c r="E33" i="19"/>
  <c r="E15" i="20"/>
  <c r="E26" i="21"/>
  <c r="E28" i="21" s="1"/>
  <c r="E7" i="13"/>
  <c r="E40" i="22"/>
  <c r="E8" i="19"/>
  <c r="E9" i="19" s="1"/>
  <c r="E29" i="16"/>
  <c r="E28" i="16"/>
  <c r="H20" i="30"/>
  <c r="H21" i="30"/>
  <c r="H32" i="30" s="1"/>
  <c r="H34" i="30" s="1"/>
  <c r="H21" i="35"/>
  <c r="H32" i="35" s="1"/>
  <c r="H20" i="35"/>
  <c r="H22" i="35" s="1"/>
  <c r="E17" i="35" s="1"/>
  <c r="E20" i="35" s="1"/>
  <c r="E38" i="21"/>
  <c r="E39" i="21"/>
  <c r="E18" i="16"/>
  <c r="E20" i="16"/>
  <c r="H55" i="22"/>
  <c r="E40" i="13"/>
  <c r="E17" i="13"/>
  <c r="E18" i="13"/>
  <c r="E38" i="16"/>
  <c r="E39" i="16"/>
  <c r="H43" i="27"/>
  <c r="E37" i="29"/>
  <c r="E38" i="29"/>
  <c r="E46" i="31"/>
  <c r="E28" i="31"/>
  <c r="E29" i="31"/>
  <c r="E28" i="32"/>
  <c r="E29" i="32"/>
  <c r="E16" i="12"/>
  <c r="E17" i="12"/>
  <c r="E16" i="22"/>
  <c r="E20" i="19"/>
  <c r="D35" i="20"/>
  <c r="E35" i="20" s="1"/>
  <c r="D45" i="20"/>
  <c r="E45" i="20" s="1"/>
  <c r="E47" i="20" s="1"/>
  <c r="D23" i="20"/>
  <c r="E23" i="20" s="1"/>
  <c r="E25" i="20" s="1"/>
  <c r="D10" i="20"/>
  <c r="E10" i="20" s="1"/>
  <c r="D13" i="20"/>
  <c r="E13" i="20" s="1"/>
  <c r="E28" i="18"/>
  <c r="E29" i="18"/>
  <c r="E6" i="12"/>
  <c r="E16" i="17"/>
  <c r="E20" i="17" s="1"/>
  <c r="D51" i="17"/>
  <c r="E51" i="17" s="1"/>
  <c r="E52" i="17" s="1"/>
  <c r="E54" i="17" s="1"/>
  <c r="D39" i="17"/>
  <c r="E39" i="17" s="1"/>
  <c r="D14" i="17"/>
  <c r="E14" i="17" s="1"/>
  <c r="D26" i="17"/>
  <c r="E26" i="17" s="1"/>
  <c r="E28" i="17" s="1"/>
  <c r="E32" i="17" s="1"/>
  <c r="D27" i="23"/>
  <c r="E27" i="23" s="1"/>
  <c r="E28" i="23" s="1"/>
  <c r="E32" i="23" s="1"/>
  <c r="D9" i="23"/>
  <c r="E9" i="23" s="1"/>
  <c r="D6" i="23"/>
  <c r="E6" i="23" s="1"/>
  <c r="D12" i="23"/>
  <c r="E12" i="23" s="1"/>
  <c r="D9" i="24"/>
  <c r="E9" i="24" s="1"/>
  <c r="D15" i="24"/>
  <c r="E15" i="24" s="1"/>
  <c r="D6" i="24"/>
  <c r="E6" i="24" s="1"/>
  <c r="D12" i="24"/>
  <c r="E12" i="24" s="1"/>
  <c r="E36" i="21"/>
  <c r="D4" i="18"/>
  <c r="E4" i="18" s="1"/>
  <c r="E7" i="18" s="1"/>
  <c r="D5" i="18"/>
  <c r="E5" i="18" s="1"/>
  <c r="D36" i="18"/>
  <c r="E36" i="18" s="1"/>
  <c r="E37" i="18" s="1"/>
  <c r="D6" i="18"/>
  <c r="E6" i="18" s="1"/>
  <c r="E16" i="24"/>
  <c r="E15" i="21"/>
  <c r="E28" i="24"/>
  <c r="D15" i="26"/>
  <c r="E15" i="26" s="1"/>
  <c r="D9" i="26"/>
  <c r="E9" i="26" s="1"/>
  <c r="D51" i="26"/>
  <c r="E51" i="26" s="1"/>
  <c r="E52" i="26" s="1"/>
  <c r="D27" i="26"/>
  <c r="E27" i="26" s="1"/>
  <c r="E28" i="26" s="1"/>
  <c r="E32" i="26" s="1"/>
  <c r="D12" i="26"/>
  <c r="E12" i="26" s="1"/>
  <c r="E40" i="26"/>
  <c r="E28" i="27"/>
  <c r="E32" i="27" s="1"/>
  <c r="E38" i="32"/>
  <c r="E40" i="32" s="1"/>
  <c r="E44" i="32" s="1"/>
  <c r="D51" i="27"/>
  <c r="E51" i="27" s="1"/>
  <c r="E52" i="27" s="1"/>
  <c r="D9" i="27"/>
  <c r="E9" i="27" s="1"/>
  <c r="D15" i="27"/>
  <c r="E15" i="27" s="1"/>
  <c r="E16" i="27" s="1"/>
  <c r="D12" i="31"/>
  <c r="E12" i="31" s="1"/>
  <c r="E16" i="31" s="1"/>
  <c r="D15" i="31"/>
  <c r="E15" i="31" s="1"/>
  <c r="D14" i="23"/>
  <c r="E14" i="23" s="1"/>
  <c r="D8" i="28"/>
  <c r="E8" i="28" s="1"/>
  <c r="D5" i="28"/>
  <c r="E5" i="28" s="1"/>
  <c r="E16" i="28" s="1"/>
  <c r="D17" i="29"/>
  <c r="E17" i="29" s="1"/>
  <c r="H17" i="29" s="1"/>
  <c r="D21" i="29"/>
  <c r="E21" i="29" s="1"/>
  <c r="D39" i="22"/>
  <c r="E39" i="22" s="1"/>
  <c r="E41" i="22" s="1"/>
  <c r="H43" i="22" l="1"/>
  <c r="H45" i="22" s="1"/>
  <c r="E42" i="22" s="1"/>
  <c r="E43" i="22" s="1"/>
  <c r="E9" i="18"/>
  <c r="E8" i="18"/>
  <c r="E29" i="21"/>
  <c r="E30" i="21"/>
  <c r="H20" i="31"/>
  <c r="H21" i="31"/>
  <c r="H30" i="31" s="1"/>
  <c r="E33" i="23"/>
  <c r="E34" i="23"/>
  <c r="E10" i="19"/>
  <c r="E11" i="19" s="1"/>
  <c r="E34" i="19" s="1"/>
  <c r="H21" i="27"/>
  <c r="H20" i="27"/>
  <c r="H22" i="27" s="1"/>
  <c r="E17" i="27" s="1"/>
  <c r="E20" i="27" s="1"/>
  <c r="E10" i="16"/>
  <c r="E11" i="16" s="1"/>
  <c r="H55" i="26"/>
  <c r="E22" i="35"/>
  <c r="E21" i="35"/>
  <c r="E21" i="18"/>
  <c r="E22" i="18" s="1"/>
  <c r="E28" i="20"/>
  <c r="E26" i="20"/>
  <c r="E18" i="12"/>
  <c r="E19" i="12"/>
  <c r="H29" i="31"/>
  <c r="E40" i="16"/>
  <c r="E41" i="16"/>
  <c r="E40" i="21"/>
  <c r="E41" i="21" s="1"/>
  <c r="E45" i="32"/>
  <c r="E46" i="32" s="1"/>
  <c r="E33" i="26"/>
  <c r="E34" i="26"/>
  <c r="E56" i="17"/>
  <c r="E55" i="17"/>
  <c r="E48" i="20"/>
  <c r="E49" i="20"/>
  <c r="E41" i="13"/>
  <c r="E42" i="13" s="1"/>
  <c r="E38" i="18"/>
  <c r="E39" i="18"/>
  <c r="H55" i="27"/>
  <c r="E16" i="26"/>
  <c r="E16" i="21"/>
  <c r="E17" i="21" s="1"/>
  <c r="E16" i="23"/>
  <c r="E7" i="12"/>
  <c r="E8" i="12"/>
  <c r="E19" i="13"/>
  <c r="E20" i="13"/>
  <c r="H57" i="22"/>
  <c r="E53" i="22" s="1"/>
  <c r="E54" i="22" s="1"/>
  <c r="E30" i="16"/>
  <c r="E31" i="16" s="1"/>
  <c r="H20" i="28"/>
  <c r="H22" i="28" s="1"/>
  <c r="E17" i="28" s="1"/>
  <c r="H21" i="28"/>
  <c r="H32" i="28" s="1"/>
  <c r="E20" i="28"/>
  <c r="H21" i="24"/>
  <c r="H32" i="24" s="1"/>
  <c r="H20" i="24"/>
  <c r="H22" i="24" s="1"/>
  <c r="E17" i="24" s="1"/>
  <c r="E20" i="24" s="1"/>
  <c r="E40" i="17"/>
  <c r="E41" i="17"/>
  <c r="E43" i="17" s="1"/>
  <c r="E30" i="18"/>
  <c r="E31" i="18"/>
  <c r="E22" i="19"/>
  <c r="E21" i="19"/>
  <c r="E16" i="20"/>
  <c r="E17" i="20"/>
  <c r="H21" i="22"/>
  <c r="H44" i="22" s="1"/>
  <c r="H56" i="22" s="1"/>
  <c r="H20" i="22"/>
  <c r="H22" i="30"/>
  <c r="E17" i="30" s="1"/>
  <c r="E20" i="30" s="1"/>
  <c r="E9" i="13"/>
  <c r="E8" i="13"/>
  <c r="H33" i="30"/>
  <c r="E30" i="30" s="1"/>
  <c r="E31" i="30" s="1"/>
  <c r="E34" i="27"/>
  <c r="E33" i="27"/>
  <c r="E33" i="17"/>
  <c r="E34" i="17" s="1"/>
  <c r="E21" i="17"/>
  <c r="E22" i="17" s="1"/>
  <c r="E36" i="20"/>
  <c r="E37" i="20"/>
  <c r="H29" i="32"/>
  <c r="H21" i="32"/>
  <c r="E25" i="29"/>
  <c r="E21" i="16"/>
  <c r="E22" i="16" s="1"/>
  <c r="H33" i="35"/>
  <c r="E30" i="35" s="1"/>
  <c r="E31" i="35" s="1"/>
  <c r="H34" i="35"/>
  <c r="E21" i="24" l="1"/>
  <c r="E22" i="24"/>
  <c r="E32" i="16"/>
  <c r="E33" i="16"/>
  <c r="E42" i="16" s="1"/>
  <c r="E18" i="21"/>
  <c r="E19" i="21" s="1"/>
  <c r="E42" i="21" s="1"/>
  <c r="E21" i="27"/>
  <c r="E22" i="27" s="1"/>
  <c r="E43" i="13"/>
  <c r="E44" i="13"/>
  <c r="E44" i="22"/>
  <c r="E45" i="22"/>
  <c r="E55" i="22"/>
  <c r="E56" i="22" s="1"/>
  <c r="E29" i="20"/>
  <c r="E30" i="20" s="1"/>
  <c r="E32" i="30"/>
  <c r="E33" i="30" s="1"/>
  <c r="E21" i="28"/>
  <c r="E22" i="28" s="1"/>
  <c r="E21" i="13"/>
  <c r="E22" i="13"/>
  <c r="E40" i="18"/>
  <c r="E41" i="18"/>
  <c r="E50" i="20"/>
  <c r="E51" i="20"/>
  <c r="E20" i="12"/>
  <c r="E21" i="12"/>
  <c r="E32" i="35"/>
  <c r="E33" i="35" s="1"/>
  <c r="E34" i="35" s="1"/>
  <c r="E10" i="13"/>
  <c r="E11" i="13" s="1"/>
  <c r="E45" i="13" s="1"/>
  <c r="H21" i="23"/>
  <c r="H20" i="23"/>
  <c r="H25" i="23"/>
  <c r="E21" i="30"/>
  <c r="E22" i="30" s="1"/>
  <c r="E34" i="30" s="1"/>
  <c r="E18" i="20"/>
  <c r="E19" i="20"/>
  <c r="E32" i="18"/>
  <c r="E33" i="18" s="1"/>
  <c r="H57" i="27"/>
  <c r="E53" i="27" s="1"/>
  <c r="E54" i="27" s="1"/>
  <c r="H32" i="31"/>
  <c r="H31" i="31"/>
  <c r="E30" i="31" s="1"/>
  <c r="E31" i="31" s="1"/>
  <c r="E10" i="18"/>
  <c r="E11" i="18"/>
  <c r="H30" i="32"/>
  <c r="H22" i="32"/>
  <c r="E17" i="32" s="1"/>
  <c r="E20" i="32" s="1"/>
  <c r="E38" i="20"/>
  <c r="E39" i="20" s="1"/>
  <c r="H34" i="24"/>
  <c r="H33" i="24"/>
  <c r="E30" i="24" s="1"/>
  <c r="E31" i="24" s="1"/>
  <c r="E9" i="12"/>
  <c r="E10" i="12" s="1"/>
  <c r="E23" i="12" s="1"/>
  <c r="H22" i="31"/>
  <c r="E17" i="31" s="1"/>
  <c r="E20" i="31" s="1"/>
  <c r="H41" i="29"/>
  <c r="E26" i="29"/>
  <c r="E29" i="29"/>
  <c r="H31" i="32"/>
  <c r="E30" i="32" s="1"/>
  <c r="E31" i="32" s="1"/>
  <c r="H32" i="32"/>
  <c r="H22" i="22"/>
  <c r="E17" i="22" s="1"/>
  <c r="E20" i="22" s="1"/>
  <c r="E44" i="17"/>
  <c r="E45" i="17" s="1"/>
  <c r="E57" i="17" s="1"/>
  <c r="E59" i="17" s="1"/>
  <c r="H33" i="28"/>
  <c r="E30" i="28" s="1"/>
  <c r="E31" i="28" s="1"/>
  <c r="H34" i="28"/>
  <c r="H20" i="26"/>
  <c r="H22" i="26" s="1"/>
  <c r="E17" i="26" s="1"/>
  <c r="E20" i="26" s="1"/>
  <c r="H21" i="26"/>
  <c r="H44" i="27"/>
  <c r="H45" i="27" s="1"/>
  <c r="E42" i="27" s="1"/>
  <c r="E43" i="27" s="1"/>
  <c r="H56" i="27"/>
  <c r="E21" i="26" l="1"/>
  <c r="E22" i="26" s="1"/>
  <c r="E40" i="20"/>
  <c r="E41" i="20"/>
  <c r="E52" i="20" s="1"/>
  <c r="E42" i="18"/>
  <c r="H44" i="23"/>
  <c r="H45" i="23" s="1"/>
  <c r="E42" i="23" s="1"/>
  <c r="E43" i="23" s="1"/>
  <c r="H56" i="23"/>
  <c r="H57" i="23" s="1"/>
  <c r="E53" i="23" s="1"/>
  <c r="E54" i="23" s="1"/>
  <c r="H56" i="26"/>
  <c r="H57" i="26" s="1"/>
  <c r="E53" i="26" s="1"/>
  <c r="E54" i="26" s="1"/>
  <c r="H44" i="26"/>
  <c r="H45" i="26" s="1"/>
  <c r="E42" i="26" s="1"/>
  <c r="E43" i="26" s="1"/>
  <c r="E32" i="24"/>
  <c r="E33" i="24" s="1"/>
  <c r="E34" i="24" s="1"/>
  <c r="E44" i="27"/>
  <c r="E45" i="27"/>
  <c r="E30" i="29"/>
  <c r="E31" i="29" s="1"/>
  <c r="E22" i="22"/>
  <c r="E57" i="22" s="1"/>
  <c r="E21" i="22"/>
  <c r="E55" i="27"/>
  <c r="E56" i="27"/>
  <c r="E57" i="27" s="1"/>
  <c r="E32" i="28"/>
  <c r="E33" i="28"/>
  <c r="E34" i="28" s="1"/>
  <c r="E22" i="32"/>
  <c r="E21" i="32"/>
  <c r="E40" i="29"/>
  <c r="E32" i="32"/>
  <c r="E33" i="32" s="1"/>
  <c r="E21" i="31"/>
  <c r="E22" i="31"/>
  <c r="E32" i="31"/>
  <c r="E33" i="31"/>
  <c r="H22" i="23"/>
  <c r="E17" i="23" s="1"/>
  <c r="E20" i="23" s="1"/>
  <c r="E59" i="27" l="1"/>
  <c r="E58" i="27"/>
  <c r="E36" i="24"/>
  <c r="E36" i="28"/>
  <c r="E36" i="35"/>
  <c r="E56" i="26"/>
  <c r="E55" i="26"/>
  <c r="E55" i="23"/>
  <c r="E56" i="23" s="1"/>
  <c r="E41" i="29"/>
  <c r="E42" i="29" s="1"/>
  <c r="E43" i="29" s="1"/>
  <c r="E44" i="23"/>
  <c r="E45" i="23"/>
  <c r="E47" i="32"/>
  <c r="E45" i="18"/>
  <c r="E43" i="18"/>
  <c r="E35" i="19"/>
  <c r="E36" i="19"/>
  <c r="E47" i="31"/>
  <c r="E21" i="23"/>
  <c r="E22" i="23" s="1"/>
  <c r="E57" i="23" s="1"/>
  <c r="E44" i="26"/>
  <c r="E45" i="26" s="1"/>
  <c r="E57" i="26" s="1"/>
  <c r="E58" i="23" l="1"/>
  <c r="E35" i="30"/>
  <c r="E35" i="35"/>
  <c r="E35" i="28"/>
  <c r="E35" i="24"/>
  <c r="E44" i="29"/>
  <c r="E45" i="29"/>
  <c r="E36" i="30"/>
  <c r="E59" i="26"/>
  <c r="E58" i="26"/>
  <c r="E35" i="32"/>
  <c r="E35" i="31"/>
</calcChain>
</file>

<file path=xl/sharedStrings.xml><?xml version="1.0" encoding="utf-8"?>
<sst xmlns="http://schemas.openxmlformats.org/spreadsheetml/2006/main" count="1618" uniqueCount="143">
  <si>
    <t>Ð³ëïÇù</t>
  </si>
  <si>
    <t>ØÇçÇÝ ³Ùë»Ï³Ý ³ßË³ï³í. Ñ³½.¹ñ³Ù</t>
  </si>
  <si>
    <t>ØÇçÇÝ ûñ»Ï³Ý ³ßË³ï³í³ñÓ, Ñ³½. ¹ñ³Ù</t>
  </si>
  <si>
    <t>àñ³Ï³íáñáõÙ ³ÝóÝáÕ ³ÝÓ</t>
  </si>
  <si>
    <t>ì»ñ³å³ïñ³ëïáõÙ Ð²¾Î-áõÙ, 1 ³ÙÇë, Ñ³½. ¹ñ³Ù</t>
  </si>
  <si>
    <r>
      <t xml:space="preserve">¶ÉË³íáñ Ù³ëÝ³·»ï </t>
    </r>
    <r>
      <rPr>
        <sz val="8"/>
        <color indexed="10"/>
        <rFont val="Arial Armenian"/>
        <family val="2"/>
      </rPr>
      <t>(200-280)</t>
    </r>
  </si>
  <si>
    <r>
      <t xml:space="preserve">²é³ç³ï³ñ Ù³ëÝ³·»ï  </t>
    </r>
    <r>
      <rPr>
        <sz val="8"/>
        <color indexed="10"/>
        <rFont val="Arial Armenian"/>
        <family val="2"/>
      </rPr>
      <t>(160-220)</t>
    </r>
  </si>
  <si>
    <r>
      <t xml:space="preserve">Ø³ëÝ³·»ï </t>
    </r>
    <r>
      <rPr>
        <sz val="8"/>
        <color indexed="10"/>
        <rFont val="Arial Armenian"/>
        <family val="2"/>
      </rPr>
      <t>(130-180)</t>
    </r>
  </si>
  <si>
    <t>1. Տեխնիկական աջակցություն Կոմիտեին</t>
  </si>
  <si>
    <t>Միջոցառում</t>
  </si>
  <si>
    <t>Չափի միավորը</t>
  </si>
  <si>
    <t>Ծավալը</t>
  </si>
  <si>
    <t>Միավորի գինը /հազ. դրամ/</t>
  </si>
  <si>
    <t>Ընդամենը /հազ. դրամ/</t>
  </si>
  <si>
    <t>1. Միջուկային եւ ճառագայթային անվտանգության փորձաքննություն</t>
  </si>
  <si>
    <t>2. Կոմիտեի գործունեությունն ապահովող գիտահետազոտական աշխատանքներ</t>
  </si>
  <si>
    <t>3.  Միջուկային և ճառագայթային  անվտանգության կարգավորող վերահսկողության գործընթացին աջակցող աշխատանքներ</t>
  </si>
  <si>
    <t>մարդ-օր</t>
  </si>
  <si>
    <t>Աշխատավարձի ֆոնդ</t>
  </si>
  <si>
    <t>Վերադիր ծախսեր - 25%</t>
  </si>
  <si>
    <t>Ընդամենը</t>
  </si>
  <si>
    <t>ԱԱՀ - 20%</t>
  </si>
  <si>
    <t>ԸՆԴԱՄԵՆԸ 1-ին մաս</t>
  </si>
  <si>
    <t>Երիտասարդ մասնագետի աշխատավարձ</t>
  </si>
  <si>
    <t>Ուսումնական ծրագրի պատասխանատուի աշխատավարձ</t>
  </si>
  <si>
    <t>Ընդամենը 1 մասնագետի պատրաստում</t>
  </si>
  <si>
    <t>ԸՆԴԱՄԵՆԸ 2-րդ մաս</t>
  </si>
  <si>
    <t>Ծախսեր եւ հարկեր, այդ թվում.</t>
  </si>
  <si>
    <t>ԸՆԴԱՄԵՆԸ 2014թ.</t>
  </si>
  <si>
    <t>ԸՆԴԱՄԵՆԸ 2016թ.</t>
  </si>
  <si>
    <t>2. Նոր մասնագետների պատրաստում Կոմիտեի և Կենտրոնի համար</t>
  </si>
  <si>
    <t>Աշխատավարձի ֆոնդ /2 մասնագետի պատրաստում/</t>
  </si>
  <si>
    <t>2. Նոր մասնագետների պատրաստում Կոմիտեի համար</t>
  </si>
  <si>
    <t xml:space="preserve">àñ³Ï³íáñáõÙ ³ÝóÝáÕ ³ÝÓ </t>
  </si>
  <si>
    <t>¶ÉË³íáñ Ù³ëÝ³·»ï</t>
  </si>
  <si>
    <t xml:space="preserve">²é³ç³ï³ñ Ù³ëÝ³·»ï </t>
  </si>
  <si>
    <t>Ø³ëÝ³·»ï</t>
  </si>
  <si>
    <t>`</t>
  </si>
  <si>
    <t xml:space="preserve">ՀԱԷԿ-ի N2 էներգաբլոկի շահագործման ժամկետի երկարացման շրջանակներում կատարվող վերլուծությանը ենթակա համակարգերի, բաղադրամասերի և կառուցվածքների, ցանկերի և չափանիշների համաձայնեցումը </t>
  </si>
  <si>
    <t>ԸՆԴԱՄԵՆԸ 3-րդ մաս</t>
  </si>
  <si>
    <t>4. Շրջակա միջավայրի ճառագայթային մոնիթորինգի ծրագրով սահմանված աշխատանքներ</t>
  </si>
  <si>
    <t>Ներգրավված փորձագետներ</t>
  </si>
  <si>
    <t>3. ՀԱԷԿ-ի շահագործման ժամկետի երկարացման լիցենզավորումը</t>
  </si>
  <si>
    <t>1. ՀԱԷԿ N2 էներգաբլոկի նախագծային ժամկետի սահմաններից դուրս շահագործմանը նախապատրաստելու Ծրագրի (աշխատանքների ծավալի և անվանացուցակը) փորձաքննությունը և համաձայնեցումը</t>
  </si>
  <si>
    <t>2. ՀԱԷԿ-ի N2 էներգաբլոկի համալիր հետազոտման իրականացման տեխնիկական առաջադրանքի (Տեխնիկական մասնագրի) փորձաքննությունը այդ թվում, վերլուծությունը և համաձայնեցումը</t>
  </si>
  <si>
    <t>3. ՀԱԷԿ-ի N2 էներգաբլոկի համակարգերի և տարրերի փաստացի վիճակի և մնացորդային գոյապաշարի գնահատումը, Համալիր հետազոտման ծրագրի փորձաքննությունը և համաձայնեցումը</t>
  </si>
  <si>
    <t>4. Շահագործման լրացուցիչ ժամկետում ՀԱԷԿ N2 էներգաբլոկի շահագործման տեխնիկական հնարավորության հիմնավորմների վերլուծություն և համաձայնեցումը</t>
  </si>
  <si>
    <t>5. ՀԱԷԿ N2 էներգաբլոկի շահագործման ժամկետի երկարացման ծրագրի փորձաքննությունը և համաձայնեցումը</t>
  </si>
  <si>
    <t>6. Փոխհատուցիչ միջոցառումների ցանկի փորձաքննությունը և համաձայնեցումը</t>
  </si>
  <si>
    <t>Գլխավոր մասնագետ</t>
  </si>
  <si>
    <t>Առաջատար մասնագետ</t>
  </si>
  <si>
    <t>Մասնագետ</t>
  </si>
  <si>
    <t>Որակավորում անցնող մասնագետ</t>
  </si>
  <si>
    <t>ԸՆԴԱՄԵՆԸ 2019թ.</t>
  </si>
  <si>
    <t xml:space="preserve">Աշխատավարձի ֆոնդ </t>
  </si>
  <si>
    <t>3. Նոր մասնագետների պատրաստում Կոմիտեի համար</t>
  </si>
  <si>
    <t>4. ՀԱԷԿ-ի շահագործման ժամկետի երկարացման լիցենզավորումը</t>
  </si>
  <si>
    <t>Գործուղման ծախսեր</t>
  </si>
  <si>
    <t>Վերադիր ծախսեր - 40%</t>
  </si>
  <si>
    <t>ԸՆԴԱՄԵՆԸ 4-րդ մաս</t>
  </si>
  <si>
    <t>ՀԱԷԿ-ի շահագործման ժամկետի երկարացման ծրագրով նախատեսված անվտանգության բարձրացման միջոցառումների II փուլով նախատեսված աշխատանքների լիցենզավորում</t>
  </si>
  <si>
    <t>ԸՆԴԱՄԵՆԸ 2020թ.</t>
  </si>
  <si>
    <t>Աշխատավարձի ֆոնդ /4 մասնագետի պատրաստում/</t>
  </si>
  <si>
    <t>ԸՆԴԱՄԵՆԸ 2021թ.</t>
  </si>
  <si>
    <t>2. Ռադիոքիմիական լաբորատորիայի զարգացման և շահագործման աշխատանքներ</t>
  </si>
  <si>
    <t>new</t>
  </si>
  <si>
    <t>ԸՆԴԱՄԵՆԸ 2022թ.</t>
  </si>
  <si>
    <t>ՀԱԷԿ-ի 2-րդ էներգաբլոկի շահագործման նախագծային ժամկետի երկարաձգման ծրագրի Փուլ II-ով (էներգաբլոկի նախապատրաստում լրացուցիչ ժամանակահատվածում շահագործմանը) նախատեսված աշխատանքների լիցենզավորում</t>
  </si>
  <si>
    <t>4. ՀԱԷԿ-ի շահագործման ժամկետի երկարաձգման լիցենզավորում</t>
  </si>
  <si>
    <t>previous version</t>
  </si>
  <si>
    <t>100% exploitation</t>
  </si>
  <si>
    <t>220 m.d added</t>
  </si>
  <si>
    <t>for 4 months</t>
  </si>
  <si>
    <t>comparison with 2020</t>
  </si>
  <si>
    <t>Comparison with 2021</t>
  </si>
  <si>
    <t>add m.d. for the modernization tasks?</t>
  </si>
  <si>
    <t>hastiqacucak</t>
  </si>
  <si>
    <t>from previous version</t>
  </si>
  <si>
    <t>40% exploitation</t>
  </si>
  <si>
    <t>Աշխատավարձի ֆոնդ /3 մասնագետի պատրաստում/</t>
  </si>
  <si>
    <t>added 3% from 2020</t>
  </si>
  <si>
    <t>added 3% from 2021</t>
  </si>
  <si>
    <t>3. Նոր մասնագետների պատրաստում ՀՀ ՄԱԿԿ-ի և Կենտրոնի համար</t>
  </si>
  <si>
    <t>Տրանսպորտային ծախսեր</t>
  </si>
  <si>
    <t>2. ՀՀ ՄԱԿԿ-ի ռադիոքիմիական ռեֆերենսային լաբորատորիայի զարգացման և շահագործման աշխատանքներ</t>
  </si>
  <si>
    <t>1. Միջուկային և ճառագայթային անվտանգության փորձաքննություն</t>
  </si>
  <si>
    <t>Ծախսեր և հարկեր, այդ թվում.</t>
  </si>
  <si>
    <t>Վերադիր ծախսեր</t>
  </si>
  <si>
    <t>2020թ․</t>
  </si>
  <si>
    <t>2021թ․</t>
  </si>
  <si>
    <t>2022թ․</t>
  </si>
  <si>
    <t>Ընդամենը աշխատավարձի ֆոնդ</t>
  </si>
  <si>
    <t>Վերադիրի %</t>
  </si>
  <si>
    <t>Ընդամենը վերադիր ծախսերի ֆոնդ</t>
  </si>
  <si>
    <t>Ընդամենը վերադիր ծախսերի ֆոնդ (նախահաշիվ)</t>
  </si>
  <si>
    <t>2023թ․</t>
  </si>
  <si>
    <t>2. ՀՀ ՄԱԿԿ-ի ռադիոքիմիական ռեֆերենսային լաբորատորիայի ստեղծման և շահագործման աշխատանքներ</t>
  </si>
  <si>
    <t>4. Լրացուցիչ ժամկետում ՀԱԷԿ-ի շահագործման անվտանգության հիմնավորման դիտարկում</t>
  </si>
  <si>
    <t>2026 թվականից հետո շահագործման լրացուցիչ ժամկետում ՀԱԷԿ-ի շահագործման անվտանգության հիմնավորման դիտարկում, ներառյալ 2026 թվականից հետո շահագործման հիմնավորման հայեցակարգի, ծրագրի և հարակից անվտանգությունը հիմնավորող փաստաթղթերի դիտարկում</t>
  </si>
  <si>
    <t>ԸՆԴԱՄԵՆԸ 2023թ.</t>
  </si>
  <si>
    <t>2024թ․</t>
  </si>
  <si>
    <t>ԸՆԴԱՄԵՆԸ 2024թ.</t>
  </si>
  <si>
    <t>2. Նոր մասնագետների պատրաստում ՀՀ ՄԱԿԿ-ի և Կենտրոնի համար</t>
  </si>
  <si>
    <t>ԸՆԴԱՄԵՆԸ 2025թ.</t>
  </si>
  <si>
    <t>2025թ․</t>
  </si>
  <si>
    <t>3. Ռադիոքիմիական լաբորատորիայի զարգացման և շահագործման աշխատանքներ</t>
  </si>
  <si>
    <t>2026թ․</t>
  </si>
  <si>
    <t>4. Շրջակա միջավայրի ճառագայթային մոնիթորինգի ծրագրով սահմանված աշխատանքներ (EWRMS, JRODOS համակարգերի սպասարկում, օդի և շինանոյթերի ճառագայթային մոնիտորինգ)</t>
  </si>
  <si>
    <t>ՎԵՐԱԴԻՐ ԾԱԽՍԵՐԻ ՆԱԽԱՀԱՇԻՎ</t>
  </si>
  <si>
    <t>N</t>
  </si>
  <si>
    <t>Ծախսի անվանումը</t>
  </si>
  <si>
    <t>Ծավալը (ամիսներ)</t>
  </si>
  <si>
    <t>Միավորի գինը (հազ. դրամ)</t>
  </si>
  <si>
    <t>Ընդամենը (հազ. դրամ)</t>
  </si>
  <si>
    <t>Ադմինիստրատիվ անձնակազմի աշխատավարձի ֆոնդ</t>
  </si>
  <si>
    <t>Սպասարկող անձնակազմի աշխատավարձի ֆոնդ</t>
  </si>
  <si>
    <t>Գրասենյակի պահպանման ծախսեր, այդ թվում՝</t>
  </si>
  <si>
    <t>Տարածքի վարձակալություն</t>
  </si>
  <si>
    <t>Տարածքի սպասարկում</t>
  </si>
  <si>
    <t>Էլեկտրաէներգիա</t>
  </si>
  <si>
    <t>Ինտերնետ և հեռախոսակապ</t>
  </si>
  <si>
    <t xml:space="preserve">Ֆիքսված հեռախոսակապ </t>
  </si>
  <si>
    <t>Բջջային հեռախոսակապ</t>
  </si>
  <si>
    <t>Ինտերնետ</t>
  </si>
  <si>
    <t>Գրասենյակային պարագաներ</t>
  </si>
  <si>
    <t xml:space="preserve">              </t>
  </si>
  <si>
    <t>Համակարգչային տեխնիկա և պարագաներ</t>
  </si>
  <si>
    <t>Տնտեսական ապրանքներ</t>
  </si>
  <si>
    <t>Գրենական պիտույքներ</t>
  </si>
  <si>
    <t>Մասնագիտական գրականություն</t>
  </si>
  <si>
    <t>Աղբյուրի ջուր</t>
  </si>
  <si>
    <t>Մաքսազերծման ծառայություններ</t>
  </si>
  <si>
    <t>ԸՆԴԱՄԵՆԸ</t>
  </si>
  <si>
    <t>Հիշողության սարք</t>
  </si>
  <si>
    <t>Հատուկ ֆիլտրերի ձեռքբերում</t>
  </si>
  <si>
    <t>Պոմպի պտուտակի թերթիկների ձեռքբերում</t>
  </si>
  <si>
    <t>2025 թվականին ՀՀ միջուկային անվտանգության կարգավորման կոմիտեին փորձաքննության ծառայությունների (փորձաքննության անցկացման, ՀԱԷԿ-ի № 2 էներգաբլոկի շահագործման անվտանգության գնահատման, գիտահետազոտական աշխատանքների իրականացման, կարգավորող փաստաթղթերի մշակման ու կարգավորող մարմնին այլ տեխնիկական աջակցության) մատուցման</t>
  </si>
  <si>
    <t>4. Վաղ ահազանգման ճառագայթային մոնիթորինգի համակարգի (EWRMS) շահագործում և սպասարկում</t>
  </si>
  <si>
    <t>5. Վթարային իրավիճակներում դեպի շրջակա միջավայր ռադիոնուկլիդների արտանետման ճառագայթային հետևանքների գնահատման համակարգի (JRODOS) շահագործում և սպասարկում</t>
  </si>
  <si>
    <t>6. Շինանյութերում ռադիոիզոտոպների պարունակության չափումներ</t>
  </si>
  <si>
    <t>7. Աէրոզոլների մոնիտորինգի ավտոմատացված համակարգի շահագործում և սպասարկում</t>
  </si>
  <si>
    <t>Աէրոզոլների մոնիտորինգի ավտոմատացված համակարգի սպասարկում արտադրողի կողմից</t>
  </si>
  <si>
    <t>Աէրոզոլների մոնիտորինգի ավտոմատացված համակարգի շահագործման համար էլեկտրաէներգիա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</si>
</sst>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%"/>
  </numFmts>
  <fonts count="29" x14ac:knownFonts="1">
    <font>
      <sz val="10"/>
      <name val="Arial"/>
    </font>
    <font>
      <sz val="8"/>
      <name val="Arial Armenian"/>
      <family val="2"/>
    </font>
    <font>
      <b/>
      <i/>
      <sz val="10"/>
      <name val="Arial Armenian"/>
      <family val="2"/>
    </font>
    <font>
      <b/>
      <sz val="9"/>
      <name val="Arial Armenian"/>
      <family val="2"/>
    </font>
    <font>
      <b/>
      <sz val="8"/>
      <name val="Arial Armenian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8"/>
      <color indexed="10"/>
      <name val="Arial Armenian"/>
      <family val="2"/>
    </font>
    <font>
      <i/>
      <sz val="10"/>
      <name val="GHEA Grapalat"/>
      <family val="3"/>
    </font>
    <font>
      <sz val="8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Arial AM"/>
      <family val="2"/>
    </font>
    <font>
      <b/>
      <sz val="14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  <charset val="204"/>
    </font>
    <font>
      <sz val="8"/>
      <color theme="0"/>
      <name val="Arial Armenian"/>
      <family val="2"/>
    </font>
    <font>
      <b/>
      <sz val="8"/>
      <color theme="0"/>
      <name val="Arial Armenian"/>
      <family val="2"/>
    </font>
    <font>
      <sz val="10"/>
      <color rgb="FFFF0000"/>
      <name val="Arial"/>
      <family val="2"/>
      <charset val="204"/>
    </font>
    <font>
      <sz val="10"/>
      <color rgb="FFFF0000"/>
      <name val="Arial"/>
      <family val="2"/>
    </font>
    <font>
      <sz val="8"/>
      <color rgb="FFFF0000"/>
      <name val="Arial"/>
      <family val="2"/>
      <charset val="204"/>
    </font>
    <font>
      <sz val="8"/>
      <color theme="0"/>
      <name val="Arial"/>
      <family val="2"/>
      <charset val="204"/>
    </font>
    <font>
      <sz val="8"/>
      <color theme="1"/>
      <name val="Arial Armeni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18" fillId="0" borderId="0"/>
    <xf numFmtId="0" fontId="7" fillId="0" borderId="0"/>
    <xf numFmtId="9" fontId="7" fillId="0" borderId="0" applyFont="0" applyFill="0" applyBorder="0" applyAlignment="0" applyProtection="0"/>
  </cellStyleXfs>
  <cellXfs count="223">
    <xf numFmtId="0" fontId="0" fillId="0" borderId="0" xfId="0"/>
    <xf numFmtId="0" fontId="7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9" fontId="7" fillId="2" borderId="0" xfId="4" applyFill="1" applyAlignment="1">
      <alignment vertical="center" wrapText="1"/>
    </xf>
    <xf numFmtId="166" fontId="7" fillId="2" borderId="0" xfId="4" applyNumberForma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9" fontId="7" fillId="2" borderId="0" xfId="4" applyFill="1"/>
    <xf numFmtId="0" fontId="1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165" fontId="4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/>
    <xf numFmtId="0" fontId="10" fillId="2" borderId="5" xfId="0" applyFont="1" applyFill="1" applyBorder="1" applyAlignment="1">
      <alignment vertical="center" wrapText="1"/>
    </xf>
    <xf numFmtId="165" fontId="7" fillId="2" borderId="0" xfId="0" applyNumberFormat="1" applyFont="1" applyFill="1"/>
    <xf numFmtId="0" fontId="13" fillId="2" borderId="0" xfId="0" applyFont="1" applyFill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center" vertical="center" wrapText="1"/>
    </xf>
    <xf numFmtId="164" fontId="21" fillId="2" borderId="0" xfId="0" applyNumberFormat="1" applyFont="1" applyFill="1" applyAlignment="1">
      <alignment horizontal="center" vertical="center" wrapText="1"/>
    </xf>
    <xf numFmtId="0" fontId="20" fillId="2" borderId="0" xfId="0" applyFont="1" applyFill="1"/>
    <xf numFmtId="9" fontId="20" fillId="2" borderId="0" xfId="4" applyFont="1" applyFill="1" applyAlignment="1">
      <alignment vertical="center" wrapText="1"/>
    </xf>
    <xf numFmtId="165" fontId="22" fillId="2" borderId="0" xfId="0" applyNumberFormat="1" applyFont="1" applyFill="1" applyAlignment="1">
      <alignment horizontal="right" vertical="center" wrapText="1"/>
    </xf>
    <xf numFmtId="165" fontId="22" fillId="2" borderId="7" xfId="0" applyNumberFormat="1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right"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wrapText="1"/>
    </xf>
    <xf numFmtId="0" fontId="10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7" fillId="2" borderId="8" xfId="0" applyFont="1" applyFill="1" applyBorder="1"/>
    <xf numFmtId="0" fontId="10" fillId="2" borderId="8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165" fontId="4" fillId="2" borderId="8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9" fontId="23" fillId="2" borderId="0" xfId="4" applyFont="1" applyFill="1" applyAlignment="1">
      <alignment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165" fontId="23" fillId="2" borderId="0" xfId="0" applyNumberFormat="1" applyFont="1" applyFill="1" applyAlignment="1">
      <alignment wrapText="1"/>
    </xf>
    <xf numFmtId="9" fontId="20" fillId="2" borderId="0" xfId="4" applyFont="1" applyFill="1" applyAlignment="1">
      <alignment horizontal="center" wrapText="1"/>
    </xf>
    <xf numFmtId="9" fontId="23" fillId="2" borderId="9" xfId="4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wrapText="1"/>
    </xf>
    <xf numFmtId="165" fontId="7" fillId="2" borderId="0" xfId="0" applyNumberFormat="1" applyFont="1" applyFill="1" applyAlignment="1">
      <alignment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center" vertical="center" wrapText="1"/>
    </xf>
    <xf numFmtId="10" fontId="3" fillId="2" borderId="0" xfId="4" applyNumberFormat="1" applyFont="1" applyFill="1" applyBorder="1" applyAlignment="1">
      <alignment vertical="center" wrapText="1"/>
    </xf>
    <xf numFmtId="10" fontId="3" fillId="2" borderId="0" xfId="4" applyNumberFormat="1" applyFont="1" applyFill="1" applyAlignment="1">
      <alignment vertical="center" wrapText="1"/>
    </xf>
    <xf numFmtId="9" fontId="7" fillId="2" borderId="0" xfId="4" applyFont="1" applyFill="1" applyAlignment="1">
      <alignment vertical="center" wrapText="1"/>
    </xf>
    <xf numFmtId="165" fontId="23" fillId="2" borderId="9" xfId="0" applyNumberFormat="1" applyFont="1" applyFill="1" applyBorder="1" applyAlignment="1">
      <alignment wrapText="1"/>
    </xf>
    <xf numFmtId="164" fontId="23" fillId="2" borderId="0" xfId="0" applyNumberFormat="1" applyFont="1" applyFill="1" applyAlignment="1">
      <alignment wrapText="1"/>
    </xf>
    <xf numFmtId="0" fontId="24" fillId="2" borderId="0" xfId="0" applyFont="1" applyFill="1" applyAlignment="1">
      <alignment vertical="center" wrapText="1"/>
    </xf>
    <xf numFmtId="10" fontId="24" fillId="2" borderId="0" xfId="4" applyNumberFormat="1" applyFont="1" applyFill="1" applyAlignment="1">
      <alignment vertical="center" wrapText="1"/>
    </xf>
    <xf numFmtId="10" fontId="7" fillId="2" borderId="0" xfId="4" applyNumberFormat="1" applyFont="1" applyFill="1" applyAlignment="1">
      <alignment wrapText="1"/>
    </xf>
    <xf numFmtId="0" fontId="25" fillId="2" borderId="8" xfId="0" applyFont="1" applyFill="1" applyBorder="1" applyAlignment="1">
      <alignment vertical="center" wrapText="1"/>
    </xf>
    <xf numFmtId="165" fontId="25" fillId="2" borderId="8" xfId="0" applyNumberFormat="1" applyFont="1" applyFill="1" applyBorder="1" applyAlignment="1">
      <alignment vertical="center" wrapText="1"/>
    </xf>
    <xf numFmtId="10" fontId="25" fillId="2" borderId="8" xfId="4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165" fontId="23" fillId="2" borderId="0" xfId="0" applyNumberFormat="1" applyFont="1" applyFill="1" applyBorder="1" applyAlignment="1">
      <alignment wrapText="1"/>
    </xf>
    <xf numFmtId="0" fontId="11" fillId="2" borderId="8" xfId="0" applyFont="1" applyFill="1" applyBorder="1" applyAlignment="1">
      <alignment vertical="center" wrapText="1"/>
    </xf>
    <xf numFmtId="165" fontId="20" fillId="2" borderId="0" xfId="0" applyNumberFormat="1" applyFont="1" applyFill="1" applyAlignment="1">
      <alignment vertical="center" wrapText="1"/>
    </xf>
    <xf numFmtId="0" fontId="20" fillId="2" borderId="0" xfId="0" applyFont="1" applyFill="1" applyBorder="1" applyAlignment="1">
      <alignment wrapText="1"/>
    </xf>
    <xf numFmtId="9" fontId="20" fillId="2" borderId="0" xfId="4" applyFont="1" applyFill="1" applyBorder="1" applyAlignment="1">
      <alignment wrapText="1"/>
    </xf>
    <xf numFmtId="0" fontId="26" fillId="2" borderId="0" xfId="0" applyFont="1" applyFill="1" applyBorder="1" applyAlignment="1">
      <alignment vertical="center" wrapText="1"/>
    </xf>
    <xf numFmtId="165" fontId="26" fillId="2" borderId="0" xfId="0" applyNumberFormat="1" applyFont="1" applyFill="1" applyBorder="1" applyAlignment="1">
      <alignment vertical="center" wrapText="1"/>
    </xf>
    <xf numFmtId="10" fontId="26" fillId="2" borderId="0" xfId="4" applyNumberFormat="1" applyFont="1" applyFill="1" applyBorder="1" applyAlignment="1">
      <alignment vertical="center" wrapText="1"/>
    </xf>
    <xf numFmtId="165" fontId="20" fillId="2" borderId="0" xfId="0" applyNumberFormat="1" applyFont="1" applyFill="1" applyBorder="1" applyAlignment="1">
      <alignment wrapText="1"/>
    </xf>
    <xf numFmtId="166" fontId="20" fillId="2" borderId="0" xfId="4" applyNumberFormat="1" applyFont="1" applyFill="1" applyAlignment="1">
      <alignment vertical="center" wrapText="1"/>
    </xf>
    <xf numFmtId="0" fontId="23" fillId="2" borderId="0" xfId="0" applyFont="1" applyFill="1" applyBorder="1" applyAlignment="1">
      <alignment wrapText="1"/>
    </xf>
    <xf numFmtId="0" fontId="23" fillId="2" borderId="0" xfId="0" applyFont="1" applyFill="1"/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20" fillId="2" borderId="9" xfId="0" applyFont="1" applyFill="1" applyBorder="1" applyAlignment="1">
      <alignment wrapText="1"/>
    </xf>
    <xf numFmtId="165" fontId="20" fillId="2" borderId="0" xfId="0" applyNumberFormat="1" applyFont="1" applyFill="1" applyAlignment="1">
      <alignment wrapText="1"/>
    </xf>
    <xf numFmtId="165" fontId="20" fillId="2" borderId="9" xfId="0" applyNumberFormat="1" applyFont="1" applyFill="1" applyBorder="1" applyAlignment="1">
      <alignment wrapText="1"/>
    </xf>
    <xf numFmtId="9" fontId="20" fillId="2" borderId="0" xfId="4" applyFont="1" applyFill="1" applyAlignment="1">
      <alignment wrapText="1"/>
    </xf>
    <xf numFmtId="9" fontId="23" fillId="2" borderId="0" xfId="4" applyFont="1" applyFill="1" applyBorder="1" applyAlignment="1">
      <alignment wrapText="1"/>
    </xf>
    <xf numFmtId="0" fontId="25" fillId="2" borderId="0" xfId="0" applyFont="1" applyFill="1" applyBorder="1" applyAlignment="1">
      <alignment vertical="center" wrapText="1"/>
    </xf>
    <xf numFmtId="165" fontId="25" fillId="2" borderId="0" xfId="0" applyNumberFormat="1" applyFont="1" applyFill="1" applyBorder="1" applyAlignment="1">
      <alignment vertical="center" wrapText="1"/>
    </xf>
    <xf numFmtId="10" fontId="25" fillId="2" borderId="0" xfId="4" applyNumberFormat="1" applyFont="1" applyFill="1" applyBorder="1" applyAlignment="1">
      <alignment vertical="center" wrapText="1"/>
    </xf>
    <xf numFmtId="9" fontId="23" fillId="2" borderId="0" xfId="4" applyFont="1" applyFill="1" applyAlignment="1">
      <alignment vertical="center" wrapText="1"/>
    </xf>
    <xf numFmtId="0" fontId="16" fillId="2" borderId="0" xfId="3" applyFont="1" applyFill="1" applyAlignment="1">
      <alignment vertical="center"/>
    </xf>
    <xf numFmtId="0" fontId="16" fillId="2" borderId="0" xfId="3" applyFont="1" applyFill="1" applyAlignment="1">
      <alignment vertical="center" wrapText="1"/>
    </xf>
    <xf numFmtId="0" fontId="17" fillId="2" borderId="8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vertical="center" wrapText="1"/>
    </xf>
    <xf numFmtId="165" fontId="16" fillId="2" borderId="8" xfId="3" applyNumberFormat="1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left" vertical="center" wrapText="1"/>
    </xf>
    <xf numFmtId="0" fontId="16" fillId="0" borderId="8" xfId="3" applyFont="1" applyFill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vertical="center" wrapText="1"/>
    </xf>
    <xf numFmtId="0" fontId="16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2" fillId="4" borderId="8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165" fontId="0" fillId="0" borderId="0" xfId="0" applyNumberFormat="1"/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20" fillId="0" borderId="0" xfId="0" applyFont="1" applyFill="1" applyAlignment="1">
      <alignment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7" fillId="0" borderId="8" xfId="0" applyFont="1" applyFill="1" applyBorder="1"/>
    <xf numFmtId="0" fontId="10" fillId="0" borderId="8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wrapText="1"/>
    </xf>
    <xf numFmtId="165" fontId="20" fillId="0" borderId="0" xfId="0" applyNumberFormat="1" applyFont="1" applyFill="1" applyAlignment="1">
      <alignment wrapText="1"/>
    </xf>
    <xf numFmtId="0" fontId="10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165" fontId="4" fillId="0" borderId="8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20" fillId="0" borderId="9" xfId="0" applyNumberFormat="1" applyFont="1" applyFill="1" applyBorder="1" applyAlignment="1">
      <alignment wrapText="1"/>
    </xf>
    <xf numFmtId="0" fontId="7" fillId="0" borderId="0" xfId="0" applyFont="1" applyFill="1" applyAlignment="1">
      <alignment vertical="center" wrapText="1"/>
    </xf>
    <xf numFmtId="166" fontId="20" fillId="0" borderId="0" xfId="4" applyNumberFormat="1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9" fontId="20" fillId="0" borderId="0" xfId="4" applyFont="1" applyFill="1" applyAlignment="1">
      <alignment vertical="center" wrapText="1"/>
    </xf>
    <xf numFmtId="0" fontId="16" fillId="0" borderId="8" xfId="3" applyFont="1" applyFill="1" applyBorder="1" applyAlignment="1">
      <alignment horizontal="left" vertical="center" wrapText="1"/>
    </xf>
    <xf numFmtId="165" fontId="16" fillId="0" borderId="8" xfId="3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8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left" vertical="center" wrapText="1"/>
    </xf>
    <xf numFmtId="165" fontId="17" fillId="0" borderId="10" xfId="3" applyNumberFormat="1" applyFont="1" applyFill="1" applyBorder="1" applyAlignment="1">
      <alignment horizontal="center" vertical="center" wrapText="1"/>
    </xf>
    <xf numFmtId="0" fontId="16" fillId="0" borderId="0" xfId="3" applyFont="1" applyFill="1" applyAlignment="1">
      <alignment vertical="center"/>
    </xf>
    <xf numFmtId="0" fontId="16" fillId="0" borderId="0" xfId="3" applyFont="1" applyFill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28" fillId="2" borderId="0" xfId="0" applyFont="1" applyFill="1" applyBorder="1" applyAlignment="1">
      <alignment wrapText="1"/>
    </xf>
    <xf numFmtId="0" fontId="28" fillId="2" borderId="0" xfId="0" applyFont="1" applyFill="1" applyAlignment="1">
      <alignment wrapText="1"/>
    </xf>
    <xf numFmtId="164" fontId="27" fillId="0" borderId="0" xfId="0" applyNumberFormat="1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wrapText="1"/>
    </xf>
    <xf numFmtId="0" fontId="3" fillId="2" borderId="8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4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center" vertical="center" wrapText="1"/>
    </xf>
    <xf numFmtId="0" fontId="17" fillId="0" borderId="15" xfId="3" applyFont="1" applyFill="1" applyBorder="1" applyAlignment="1">
      <alignment horizontal="center" vertical="center" wrapText="1"/>
    </xf>
    <xf numFmtId="0" fontId="17" fillId="0" borderId="16" xfId="3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28" fillId="2" borderId="0" xfId="0" applyFont="1" applyFill="1"/>
    <xf numFmtId="9" fontId="28" fillId="2" borderId="0" xfId="4" applyFont="1" applyFill="1" applyAlignment="1">
      <alignment wrapText="1"/>
    </xf>
    <xf numFmtId="165" fontId="28" fillId="2" borderId="0" xfId="0" applyNumberFormat="1" applyFont="1" applyFill="1" applyAlignment="1">
      <alignment wrapText="1"/>
    </xf>
  </cellXfs>
  <cellStyles count="5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9"/>
  <sheetViews>
    <sheetView topLeftCell="A10" workbookViewId="0">
      <selection activeCell="R22" sqref="R22"/>
    </sheetView>
  </sheetViews>
  <sheetFormatPr defaultRowHeight="12.75" x14ac:dyDescent="0.2"/>
  <cols>
    <col min="1" max="1" width="35.140625" style="18" customWidth="1"/>
    <col min="2" max="2" width="11.7109375" style="11" customWidth="1"/>
    <col min="3" max="3" width="13.85546875" style="11" customWidth="1"/>
    <col min="4" max="4" width="13.42578125" style="11" customWidth="1"/>
    <col min="5" max="5" width="15.7109375" style="11" customWidth="1"/>
    <col min="6" max="16384" width="9.140625" style="1"/>
  </cols>
  <sheetData>
    <row r="1" spans="1:5" ht="20.100000000000001" customHeight="1" thickBot="1" x14ac:dyDescent="0.25">
      <c r="A1" s="187" t="s">
        <v>8</v>
      </c>
      <c r="B1" s="187"/>
      <c r="C1" s="187"/>
      <c r="D1" s="187"/>
      <c r="E1" s="187"/>
    </row>
    <row r="2" spans="1:5" ht="30" customHeight="1" thickBot="1" x14ac:dyDescent="0.25">
      <c r="A2" s="19" t="s">
        <v>9</v>
      </c>
      <c r="B2" s="20" t="s">
        <v>10</v>
      </c>
      <c r="C2" s="20" t="s">
        <v>11</v>
      </c>
      <c r="D2" s="20" t="s">
        <v>12</v>
      </c>
      <c r="E2" s="20" t="s">
        <v>13</v>
      </c>
    </row>
    <row r="3" spans="1:5" ht="30" customHeight="1" thickBot="1" x14ac:dyDescent="0.25">
      <c r="A3" s="21" t="s">
        <v>14</v>
      </c>
      <c r="B3" s="22" t="s">
        <v>17</v>
      </c>
      <c r="C3" s="5">
        <v>455</v>
      </c>
      <c r="D3" s="6">
        <f>C34</f>
        <v>11.574074074074073</v>
      </c>
      <c r="E3" s="27">
        <f>C3*D3</f>
        <v>5266.2037037037035</v>
      </c>
    </row>
    <row r="4" spans="1:5" ht="30" customHeight="1" thickBot="1" x14ac:dyDescent="0.25">
      <c r="A4" s="21" t="s">
        <v>15</v>
      </c>
      <c r="B4" s="22" t="s">
        <v>17</v>
      </c>
      <c r="C4" s="5">
        <v>955</v>
      </c>
      <c r="D4" s="6">
        <f>C34</f>
        <v>11.574074074074073</v>
      </c>
      <c r="E4" s="27">
        <f>C4*D4</f>
        <v>11053.240740740739</v>
      </c>
    </row>
    <row r="5" spans="1:5" ht="50.1" customHeight="1" thickBot="1" x14ac:dyDescent="0.25">
      <c r="A5" s="21" t="s">
        <v>16</v>
      </c>
      <c r="B5" s="22" t="s">
        <v>17</v>
      </c>
      <c r="C5" s="5">
        <v>1400</v>
      </c>
      <c r="D5" s="6">
        <f>C34</f>
        <v>11.574074074074073</v>
      </c>
      <c r="E5" s="27">
        <f>C5*D5</f>
        <v>16203.703703703703</v>
      </c>
    </row>
    <row r="6" spans="1:5" ht="24.95" customHeight="1" thickBot="1" x14ac:dyDescent="0.25">
      <c r="A6" s="188" t="s">
        <v>27</v>
      </c>
      <c r="B6" s="191" t="s">
        <v>18</v>
      </c>
      <c r="C6" s="192"/>
      <c r="D6" s="193"/>
      <c r="E6" s="27">
        <f>SUM(E3:E5)</f>
        <v>32523.148148148146</v>
      </c>
    </row>
    <row r="7" spans="1:5" ht="24.95" customHeight="1" thickBot="1" x14ac:dyDescent="0.25">
      <c r="A7" s="189"/>
      <c r="B7" s="191" t="s">
        <v>19</v>
      </c>
      <c r="C7" s="192"/>
      <c r="D7" s="193"/>
      <c r="E7" s="27">
        <f>E6*0.25</f>
        <v>8130.7870370370365</v>
      </c>
    </row>
    <row r="8" spans="1:5" ht="24.95" customHeight="1" thickBot="1" x14ac:dyDescent="0.25">
      <c r="A8" s="189"/>
      <c r="B8" s="191" t="s">
        <v>20</v>
      </c>
      <c r="C8" s="192"/>
      <c r="D8" s="193"/>
      <c r="E8" s="27">
        <f>SUM(E6:E7)</f>
        <v>40653.935185185182</v>
      </c>
    </row>
    <row r="9" spans="1:5" ht="24.95" customHeight="1" thickBot="1" x14ac:dyDescent="0.25">
      <c r="A9" s="190"/>
      <c r="B9" s="191" t="s">
        <v>21</v>
      </c>
      <c r="C9" s="192"/>
      <c r="D9" s="193"/>
      <c r="E9" s="27">
        <f>E8*0.2</f>
        <v>8130.7870370370365</v>
      </c>
    </row>
    <row r="10" spans="1:5" ht="24.95" customHeight="1" thickBot="1" x14ac:dyDescent="0.25">
      <c r="A10" s="23" t="s">
        <v>22</v>
      </c>
      <c r="B10" s="194"/>
      <c r="C10" s="195"/>
      <c r="D10" s="196"/>
      <c r="E10" s="28">
        <f>SUM(E8:E9)</f>
        <v>48784.722222222219</v>
      </c>
    </row>
    <row r="11" spans="1:5" x14ac:dyDescent="0.2">
      <c r="A11" s="8"/>
      <c r="B11" s="9"/>
      <c r="C11" s="9"/>
      <c r="D11" s="9"/>
      <c r="E11" s="9"/>
    </row>
    <row r="12" spans="1:5" ht="24" customHeight="1" thickBot="1" x14ac:dyDescent="0.25">
      <c r="A12" s="187" t="s">
        <v>30</v>
      </c>
      <c r="B12" s="187"/>
      <c r="C12" s="187"/>
      <c r="D12" s="187"/>
      <c r="E12" s="187"/>
    </row>
    <row r="13" spans="1:5" ht="24.95" customHeight="1" thickBot="1" x14ac:dyDescent="0.25">
      <c r="A13" s="19" t="s">
        <v>9</v>
      </c>
      <c r="B13" s="20" t="s">
        <v>10</v>
      </c>
      <c r="C13" s="20" t="s">
        <v>11</v>
      </c>
      <c r="D13" s="20" t="s">
        <v>12</v>
      </c>
      <c r="E13" s="20" t="s">
        <v>13</v>
      </c>
    </row>
    <row r="14" spans="1:5" ht="24.95" customHeight="1" thickBot="1" x14ac:dyDescent="0.25">
      <c r="A14" s="21" t="s">
        <v>23</v>
      </c>
      <c r="B14" s="22" t="s">
        <v>17</v>
      </c>
      <c r="C14" s="5">
        <v>250</v>
      </c>
      <c r="D14" s="6">
        <f>C37</f>
        <v>4.6296296296296298</v>
      </c>
      <c r="E14" s="7">
        <f>C14*D14</f>
        <v>1157.4074074074074</v>
      </c>
    </row>
    <row r="15" spans="1:5" ht="24.95" customHeight="1" thickBot="1" x14ac:dyDescent="0.25">
      <c r="A15" s="21" t="s">
        <v>24</v>
      </c>
      <c r="B15" s="22" t="s">
        <v>17</v>
      </c>
      <c r="C15" s="5">
        <v>50</v>
      </c>
      <c r="D15" s="6">
        <f>C34</f>
        <v>11.574074074074073</v>
      </c>
      <c r="E15" s="7">
        <f>C15*D15</f>
        <v>578.70370370370358</v>
      </c>
    </row>
    <row r="16" spans="1:5" ht="24.95" customHeight="1" thickBot="1" x14ac:dyDescent="0.25">
      <c r="A16" s="21" t="s">
        <v>25</v>
      </c>
      <c r="B16" s="22"/>
      <c r="C16" s="10"/>
      <c r="D16" s="10"/>
      <c r="E16" s="7">
        <f>SUM(E14:E15)</f>
        <v>1736.1111111111109</v>
      </c>
    </row>
    <row r="17" spans="1:5" ht="24.95" customHeight="1" thickBot="1" x14ac:dyDescent="0.25">
      <c r="A17" s="188" t="s">
        <v>27</v>
      </c>
      <c r="B17" s="191" t="s">
        <v>31</v>
      </c>
      <c r="C17" s="192"/>
      <c r="D17" s="193"/>
      <c r="E17" s="7">
        <f>2*(E14+E15)</f>
        <v>3472.2222222222217</v>
      </c>
    </row>
    <row r="18" spans="1:5" ht="24.95" customHeight="1" thickBot="1" x14ac:dyDescent="0.25">
      <c r="A18" s="189"/>
      <c r="B18" s="191" t="s">
        <v>19</v>
      </c>
      <c r="C18" s="192"/>
      <c r="D18" s="193"/>
      <c r="E18" s="7">
        <f>E17*0.25</f>
        <v>868.05555555555543</v>
      </c>
    </row>
    <row r="19" spans="1:5" ht="24.95" customHeight="1" thickBot="1" x14ac:dyDescent="0.25">
      <c r="A19" s="189"/>
      <c r="B19" s="191" t="s">
        <v>20</v>
      </c>
      <c r="C19" s="192"/>
      <c r="D19" s="193"/>
      <c r="E19" s="7">
        <f>SUM(E17:E18)</f>
        <v>4340.2777777777774</v>
      </c>
    </row>
    <row r="20" spans="1:5" ht="24.95" customHeight="1" thickBot="1" x14ac:dyDescent="0.25">
      <c r="A20" s="190"/>
      <c r="B20" s="191" t="s">
        <v>21</v>
      </c>
      <c r="C20" s="192"/>
      <c r="D20" s="193"/>
      <c r="E20" s="7">
        <f>E19*0.2</f>
        <v>868.05555555555554</v>
      </c>
    </row>
    <row r="21" spans="1:5" ht="24.95" customHeight="1" thickBot="1" x14ac:dyDescent="0.25">
      <c r="A21" s="23" t="s">
        <v>26</v>
      </c>
      <c r="B21" s="194"/>
      <c r="C21" s="195"/>
      <c r="D21" s="196"/>
      <c r="E21" s="26">
        <f>SUM(E19:E20)</f>
        <v>5208.333333333333</v>
      </c>
    </row>
    <row r="22" spans="1:5" ht="24.95" customHeight="1" thickBot="1" x14ac:dyDescent="0.25">
      <c r="A22" s="9"/>
      <c r="B22" s="9"/>
      <c r="C22" s="9"/>
      <c r="D22" s="9"/>
      <c r="E22" s="9"/>
    </row>
    <row r="23" spans="1:5" ht="24.95" customHeight="1" thickBot="1" x14ac:dyDescent="0.25">
      <c r="A23" s="197" t="s">
        <v>28</v>
      </c>
      <c r="B23" s="198"/>
      <c r="C23" s="198"/>
      <c r="D23" s="198"/>
      <c r="E23" s="24">
        <f>E10+E21</f>
        <v>53993.055555555555</v>
      </c>
    </row>
    <row r="24" spans="1:5" x14ac:dyDescent="0.2">
      <c r="A24" s="11"/>
    </row>
    <row r="25" spans="1:5" x14ac:dyDescent="0.2">
      <c r="A25" s="11"/>
    </row>
    <row r="26" spans="1:5" x14ac:dyDescent="0.2">
      <c r="A26" s="11"/>
    </row>
    <row r="27" spans="1:5" x14ac:dyDescent="0.2">
      <c r="A27" s="11"/>
    </row>
    <row r="28" spans="1:5" x14ac:dyDescent="0.2">
      <c r="A28" s="11"/>
    </row>
    <row r="29" spans="1:5" x14ac:dyDescent="0.2">
      <c r="A29" s="11"/>
    </row>
    <row r="30" spans="1:5" x14ac:dyDescent="0.2">
      <c r="A30" s="11"/>
    </row>
    <row r="31" spans="1:5" x14ac:dyDescent="0.2">
      <c r="A31" s="11"/>
    </row>
    <row r="32" spans="1:5" ht="13.5" thickBot="1" x14ac:dyDescent="0.25">
      <c r="A32" s="11"/>
      <c r="D32" s="12"/>
      <c r="E32" s="12"/>
    </row>
    <row r="33" spans="1:5" ht="64.5" customHeight="1" thickBot="1" x14ac:dyDescent="0.25">
      <c r="A33" s="2" t="s">
        <v>0</v>
      </c>
      <c r="B33" s="2" t="s">
        <v>1</v>
      </c>
      <c r="C33" s="3" t="s">
        <v>2</v>
      </c>
      <c r="D33" s="13"/>
      <c r="E33" s="13"/>
    </row>
    <row r="34" spans="1:5" ht="14.25" customHeight="1" thickBot="1" x14ac:dyDescent="0.25">
      <c r="A34" s="4" t="s">
        <v>5</v>
      </c>
      <c r="B34" s="25">
        <v>250</v>
      </c>
      <c r="C34" s="6">
        <f>B34/21.6</f>
        <v>11.574074074074073</v>
      </c>
      <c r="D34" s="14"/>
      <c r="E34" s="14"/>
    </row>
    <row r="35" spans="1:5" ht="13.5" thickBot="1" x14ac:dyDescent="0.25">
      <c r="A35" s="4" t="s">
        <v>6</v>
      </c>
      <c r="B35" s="25">
        <v>220</v>
      </c>
      <c r="C35" s="6">
        <f>B35/21.6</f>
        <v>10.185185185185185</v>
      </c>
      <c r="D35" s="14"/>
      <c r="E35" s="14"/>
    </row>
    <row r="36" spans="1:5" ht="13.5" thickBot="1" x14ac:dyDescent="0.25">
      <c r="A36" s="4" t="s">
        <v>7</v>
      </c>
      <c r="B36" s="25">
        <v>160</v>
      </c>
      <c r="C36" s="6">
        <f>B36/21.6</f>
        <v>7.4074074074074066</v>
      </c>
      <c r="D36" s="14"/>
      <c r="E36" s="14"/>
    </row>
    <row r="37" spans="1:5" ht="13.5" thickBot="1" x14ac:dyDescent="0.25">
      <c r="A37" s="4" t="s">
        <v>3</v>
      </c>
      <c r="B37" s="25">
        <v>100</v>
      </c>
      <c r="C37" s="6">
        <f>B37/21.6</f>
        <v>4.6296296296296298</v>
      </c>
      <c r="D37" s="14"/>
      <c r="E37" s="14"/>
    </row>
    <row r="38" spans="1:5" ht="13.5" thickBot="1" x14ac:dyDescent="0.25">
      <c r="A38" s="15"/>
      <c r="B38" s="16"/>
      <c r="C38" s="16"/>
      <c r="D38" s="16"/>
      <c r="E38" s="16"/>
    </row>
    <row r="39" spans="1:5" ht="21.75" thickBot="1" x14ac:dyDescent="0.25">
      <c r="A39" s="17" t="s">
        <v>4</v>
      </c>
      <c r="B39" s="3">
        <v>200</v>
      </c>
      <c r="D39" s="16"/>
      <c r="E39" s="16"/>
    </row>
  </sheetData>
  <mergeCells count="15">
    <mergeCell ref="B21:D21"/>
    <mergeCell ref="A23:D23"/>
    <mergeCell ref="B10:D10"/>
    <mergeCell ref="A12:E12"/>
    <mergeCell ref="A17:A20"/>
    <mergeCell ref="B17:D17"/>
    <mergeCell ref="B18:D18"/>
    <mergeCell ref="B19:D19"/>
    <mergeCell ref="B20:D20"/>
    <mergeCell ref="A1:E1"/>
    <mergeCell ref="A6:A9"/>
    <mergeCell ref="B6:D6"/>
    <mergeCell ref="B7:D7"/>
    <mergeCell ref="B8:D8"/>
    <mergeCell ref="B9:D9"/>
  </mergeCells>
  <pageMargins left="0" right="0" top="0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0"/>
  <sheetViews>
    <sheetView topLeftCell="A25" workbookViewId="0">
      <selection activeCell="E41" sqref="E41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55" bestFit="1" customWidth="1"/>
    <col min="7" max="7" width="21.140625" style="105" customWidth="1"/>
    <col min="8" max="8" width="13.85546875" style="105" customWidth="1"/>
    <col min="9" max="9" width="9.140625" style="105"/>
    <col min="10" max="10" width="9.140625" style="18"/>
    <col min="11" max="16384" width="9.140625" style="1"/>
  </cols>
  <sheetData>
    <row r="1" spans="1:12" x14ac:dyDescent="0.2">
      <c r="A1" s="201" t="s">
        <v>100</v>
      </c>
      <c r="B1" s="201"/>
      <c r="C1" s="201"/>
      <c r="D1" s="201"/>
      <c r="E1" s="201"/>
      <c r="F1" s="201"/>
    </row>
    <row r="2" spans="1:12" ht="20.100000000000001" customHeight="1" x14ac:dyDescent="0.2">
      <c r="A2" s="205" t="s">
        <v>8</v>
      </c>
      <c r="B2" s="205"/>
      <c r="C2" s="205"/>
      <c r="D2" s="205"/>
      <c r="E2" s="205"/>
    </row>
    <row r="3" spans="1:12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12" ht="30" customHeight="1" x14ac:dyDescent="0.2">
      <c r="A4" s="57" t="s">
        <v>85</v>
      </c>
      <c r="B4" s="58"/>
      <c r="C4" s="58"/>
      <c r="D4" s="58"/>
      <c r="E4" s="58"/>
    </row>
    <row r="5" spans="1:12" ht="19.899999999999999" customHeight="1" x14ac:dyDescent="0.2">
      <c r="A5" s="59" t="s">
        <v>49</v>
      </c>
      <c r="B5" s="114" t="s">
        <v>17</v>
      </c>
      <c r="C5" s="60">
        <v>275</v>
      </c>
      <c r="D5" s="61">
        <f>$C$56</f>
        <v>20.833333333333332</v>
      </c>
      <c r="E5" s="62">
        <f>C5*D5</f>
        <v>5729.1666666666661</v>
      </c>
      <c r="F5" s="76"/>
      <c r="J5" s="55"/>
    </row>
    <row r="6" spans="1:12" ht="19.899999999999999" customHeight="1" x14ac:dyDescent="0.2">
      <c r="A6" s="59" t="s">
        <v>50</v>
      </c>
      <c r="B6" s="114" t="s">
        <v>17</v>
      </c>
      <c r="C6" s="60">
        <v>95</v>
      </c>
      <c r="D6" s="61">
        <f>$C$57</f>
        <v>17.12962962962963</v>
      </c>
      <c r="E6" s="62">
        <f>C6*D6</f>
        <v>1627.3148148148148</v>
      </c>
      <c r="F6" s="72"/>
    </row>
    <row r="7" spans="1:12" ht="30" customHeight="1" x14ac:dyDescent="0.2">
      <c r="A7" s="57" t="s">
        <v>15</v>
      </c>
      <c r="B7" s="114"/>
      <c r="C7" s="60"/>
      <c r="D7" s="61"/>
      <c r="E7" s="62"/>
    </row>
    <row r="8" spans="1:12" ht="19.899999999999999" customHeight="1" x14ac:dyDescent="0.2">
      <c r="A8" s="59" t="s">
        <v>49</v>
      </c>
      <c r="B8" s="114" t="s">
        <v>17</v>
      </c>
      <c r="C8" s="60">
        <v>405</v>
      </c>
      <c r="D8" s="61">
        <f>$C$56</f>
        <v>20.833333333333332</v>
      </c>
      <c r="E8" s="62">
        <f>C8*D8</f>
        <v>8437.5</v>
      </c>
    </row>
    <row r="9" spans="1:12" ht="19.899999999999999" customHeight="1" x14ac:dyDescent="0.2">
      <c r="A9" s="59" t="s">
        <v>50</v>
      </c>
      <c r="B9" s="114" t="s">
        <v>17</v>
      </c>
      <c r="C9" s="60">
        <v>230</v>
      </c>
      <c r="D9" s="61">
        <f>$C$57</f>
        <v>17.12962962962963</v>
      </c>
      <c r="E9" s="62">
        <f>C9*D9</f>
        <v>3939.8148148148148</v>
      </c>
      <c r="F9" s="72"/>
    </row>
    <row r="10" spans="1:12" ht="50.1" customHeight="1" x14ac:dyDescent="0.2">
      <c r="A10" s="57" t="s">
        <v>16</v>
      </c>
      <c r="B10" s="114"/>
      <c r="C10" s="60"/>
      <c r="D10" s="61"/>
      <c r="E10" s="62"/>
    </row>
    <row r="11" spans="1:12" ht="19.899999999999999" customHeight="1" x14ac:dyDescent="0.2">
      <c r="A11" s="59" t="s">
        <v>49</v>
      </c>
      <c r="B11" s="114" t="s">
        <v>17</v>
      </c>
      <c r="C11" s="60">
        <v>325</v>
      </c>
      <c r="D11" s="61">
        <f>$C$56</f>
        <v>20.833333333333332</v>
      </c>
      <c r="E11" s="62">
        <f>C11*D11</f>
        <v>6770.833333333333</v>
      </c>
    </row>
    <row r="12" spans="1:12" ht="19.899999999999999" customHeight="1" x14ac:dyDescent="0.2">
      <c r="A12" s="59" t="s">
        <v>50</v>
      </c>
      <c r="B12" s="114" t="s">
        <v>17</v>
      </c>
      <c r="C12" s="60">
        <v>315</v>
      </c>
      <c r="D12" s="61">
        <f>$C$57</f>
        <v>17.12962962962963</v>
      </c>
      <c r="E12" s="62">
        <f>C12*D12</f>
        <v>5395.833333333333</v>
      </c>
      <c r="F12" s="72"/>
    </row>
    <row r="13" spans="1:12" ht="41.45" customHeight="1" x14ac:dyDescent="0.2">
      <c r="A13" s="57" t="s">
        <v>40</v>
      </c>
      <c r="B13" s="114"/>
      <c r="C13" s="60"/>
      <c r="D13" s="61"/>
      <c r="E13" s="62"/>
    </row>
    <row r="14" spans="1:12" ht="19.899999999999999" customHeight="1" x14ac:dyDescent="0.2">
      <c r="A14" s="59" t="s">
        <v>49</v>
      </c>
      <c r="B14" s="114" t="s">
        <v>17</v>
      </c>
      <c r="C14" s="60">
        <v>90</v>
      </c>
      <c r="D14" s="61">
        <f>$C$56</f>
        <v>20.833333333333332</v>
      </c>
      <c r="E14" s="62">
        <f>C14*D14</f>
        <v>1875</v>
      </c>
      <c r="J14" s="55"/>
      <c r="K14" s="113"/>
      <c r="L14" s="113"/>
    </row>
    <row r="15" spans="1:12" ht="19.899999999999999" customHeight="1" x14ac:dyDescent="0.2">
      <c r="A15" s="59" t="s">
        <v>50</v>
      </c>
      <c r="B15" s="114" t="s">
        <v>17</v>
      </c>
      <c r="C15" s="60">
        <v>20</v>
      </c>
      <c r="D15" s="61">
        <f>$C$57</f>
        <v>17.12962962962963</v>
      </c>
      <c r="E15" s="62">
        <f>C15*D15</f>
        <v>342.59259259259261</v>
      </c>
      <c r="F15" s="72"/>
      <c r="J15" s="55"/>
      <c r="K15" s="113"/>
      <c r="L15" s="113"/>
    </row>
    <row r="16" spans="1:12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34118.055555555555</v>
      </c>
      <c r="J16" s="55"/>
      <c r="K16" s="113"/>
      <c r="L16" s="113"/>
    </row>
    <row r="17" spans="1:12" ht="24.95" customHeight="1" x14ac:dyDescent="0.2">
      <c r="A17" s="206"/>
      <c r="B17" s="207" t="s">
        <v>87</v>
      </c>
      <c r="C17" s="207"/>
      <c r="D17" s="207"/>
      <c r="E17" s="62">
        <f>H19*H22</f>
        <v>13576.449617083948</v>
      </c>
      <c r="F17" s="76"/>
      <c r="J17" s="55"/>
      <c r="K17" s="113"/>
      <c r="L17" s="113"/>
    </row>
    <row r="18" spans="1:12" ht="24.95" customHeight="1" x14ac:dyDescent="0.2">
      <c r="A18" s="206"/>
      <c r="B18" s="207" t="s">
        <v>83</v>
      </c>
      <c r="C18" s="207"/>
      <c r="D18" s="207"/>
      <c r="E18" s="62">
        <v>800</v>
      </c>
      <c r="G18" s="106"/>
      <c r="J18" s="55"/>
      <c r="K18" s="113"/>
      <c r="L18" s="113"/>
    </row>
    <row r="19" spans="1:12" ht="24.95" customHeight="1" x14ac:dyDescent="0.2">
      <c r="A19" s="206"/>
      <c r="B19" s="207" t="s">
        <v>57</v>
      </c>
      <c r="C19" s="207"/>
      <c r="D19" s="207"/>
      <c r="E19" s="62">
        <v>600</v>
      </c>
      <c r="G19" s="107" t="s">
        <v>94</v>
      </c>
      <c r="H19" s="108">
        <v>17262.236000000001</v>
      </c>
      <c r="J19" s="55"/>
      <c r="K19" s="113"/>
      <c r="L19" s="113"/>
    </row>
    <row r="20" spans="1:12" ht="24.95" customHeight="1" x14ac:dyDescent="0.2">
      <c r="A20" s="206"/>
      <c r="B20" s="207" t="s">
        <v>20</v>
      </c>
      <c r="C20" s="207"/>
      <c r="D20" s="207"/>
      <c r="E20" s="62">
        <f>SUM(E16:E17)+E18+E19</f>
        <v>49094.505172639503</v>
      </c>
      <c r="G20" s="107" t="s">
        <v>18</v>
      </c>
      <c r="H20" s="108">
        <f>E16</f>
        <v>34118.055555555555</v>
      </c>
      <c r="J20" s="55"/>
      <c r="K20" s="113"/>
      <c r="L20" s="113"/>
    </row>
    <row r="21" spans="1:12" ht="24.95" customHeight="1" x14ac:dyDescent="0.2">
      <c r="A21" s="206"/>
      <c r="B21" s="207" t="s">
        <v>21</v>
      </c>
      <c r="C21" s="207"/>
      <c r="D21" s="207"/>
      <c r="E21" s="62">
        <f>E20*0.2</f>
        <v>9818.9010345279003</v>
      </c>
      <c r="F21" s="72"/>
      <c r="G21" s="107" t="s">
        <v>91</v>
      </c>
      <c r="H21" s="108">
        <f>E16+E29</f>
        <v>43380.555555555555</v>
      </c>
      <c r="J21" s="55"/>
      <c r="K21" s="113"/>
      <c r="L21" s="113"/>
    </row>
    <row r="22" spans="1:12" ht="24.95" customHeight="1" x14ac:dyDescent="0.2">
      <c r="A22" s="116" t="s">
        <v>22</v>
      </c>
      <c r="B22" s="202"/>
      <c r="C22" s="202"/>
      <c r="D22" s="202"/>
      <c r="E22" s="65">
        <f>SUM(E20:E21)</f>
        <v>58913.406207167405</v>
      </c>
      <c r="G22" s="107" t="s">
        <v>92</v>
      </c>
      <c r="H22" s="109">
        <f>H20/H21</f>
        <v>0.78648267913171543</v>
      </c>
      <c r="J22" s="55"/>
      <c r="K22" s="113"/>
      <c r="L22" s="113"/>
    </row>
    <row r="23" spans="1:12" ht="24.95" customHeight="1" x14ac:dyDescent="0.2">
      <c r="A23" s="33"/>
      <c r="B23" s="34"/>
      <c r="C23" s="34"/>
      <c r="D23" s="34"/>
      <c r="E23" s="35"/>
    </row>
    <row r="24" spans="1:12" ht="24" customHeight="1" x14ac:dyDescent="0.2">
      <c r="A24" s="205" t="s">
        <v>102</v>
      </c>
      <c r="B24" s="205"/>
      <c r="C24" s="205"/>
      <c r="D24" s="205"/>
      <c r="E24" s="205"/>
    </row>
    <row r="25" spans="1:12" ht="24.95" customHeight="1" x14ac:dyDescent="0.2">
      <c r="A25" s="114" t="s">
        <v>9</v>
      </c>
      <c r="B25" s="114" t="s">
        <v>10</v>
      </c>
      <c r="C25" s="114" t="s">
        <v>11</v>
      </c>
      <c r="D25" s="114" t="s">
        <v>12</v>
      </c>
      <c r="E25" s="114" t="s">
        <v>13</v>
      </c>
    </row>
    <row r="26" spans="1:12" ht="24.95" customHeight="1" x14ac:dyDescent="0.2">
      <c r="A26" s="115" t="s">
        <v>23</v>
      </c>
      <c r="B26" s="114" t="s">
        <v>17</v>
      </c>
      <c r="C26" s="60">
        <v>252</v>
      </c>
      <c r="D26" s="61">
        <f>C59</f>
        <v>10.185185185185185</v>
      </c>
      <c r="E26" s="62">
        <f>C26*D26</f>
        <v>2566.6666666666665</v>
      </c>
    </row>
    <row r="27" spans="1:12" ht="24.95" customHeight="1" x14ac:dyDescent="0.2">
      <c r="A27" s="115" t="s">
        <v>24</v>
      </c>
      <c r="B27" s="114" t="s">
        <v>17</v>
      </c>
      <c r="C27" s="60">
        <v>25</v>
      </c>
      <c r="D27" s="61">
        <f>C56</f>
        <v>20.833333333333332</v>
      </c>
      <c r="E27" s="62">
        <f>C27*D27</f>
        <v>520.83333333333326</v>
      </c>
      <c r="F27" s="72"/>
      <c r="J27" s="55"/>
    </row>
    <row r="28" spans="1:12" ht="24.95" customHeight="1" x14ac:dyDescent="0.2">
      <c r="A28" s="115" t="s">
        <v>25</v>
      </c>
      <c r="B28" s="114"/>
      <c r="C28" s="68"/>
      <c r="D28" s="68"/>
      <c r="E28" s="62">
        <f>SUM(E26:E27)</f>
        <v>3087.5</v>
      </c>
      <c r="G28" s="107" t="s">
        <v>94</v>
      </c>
      <c r="H28" s="108">
        <v>17262.236000000001</v>
      </c>
      <c r="J28" s="55"/>
    </row>
    <row r="29" spans="1:12" ht="24.95" customHeight="1" x14ac:dyDescent="0.2">
      <c r="A29" s="206" t="s">
        <v>86</v>
      </c>
      <c r="B29" s="207" t="s">
        <v>79</v>
      </c>
      <c r="C29" s="207"/>
      <c r="D29" s="207"/>
      <c r="E29" s="62">
        <f>3*(E26+E27)</f>
        <v>9262.5</v>
      </c>
      <c r="G29" s="107" t="s">
        <v>18</v>
      </c>
      <c r="H29" s="108">
        <f>E29</f>
        <v>9262.5</v>
      </c>
      <c r="J29" s="55"/>
    </row>
    <row r="30" spans="1:12" ht="24.95" customHeight="1" x14ac:dyDescent="0.2">
      <c r="A30" s="206"/>
      <c r="B30" s="207" t="s">
        <v>87</v>
      </c>
      <c r="C30" s="207"/>
      <c r="D30" s="207"/>
      <c r="E30" s="62">
        <f>H28*H31</f>
        <v>3685.7863829160533</v>
      </c>
      <c r="F30" s="87"/>
      <c r="G30" s="107" t="s">
        <v>91</v>
      </c>
      <c r="H30" s="108">
        <f>H21</f>
        <v>43380.555555555555</v>
      </c>
      <c r="J30" s="55"/>
    </row>
    <row r="31" spans="1:12" ht="24.95" customHeight="1" x14ac:dyDescent="0.2">
      <c r="A31" s="206"/>
      <c r="B31" s="207" t="s">
        <v>20</v>
      </c>
      <c r="C31" s="207"/>
      <c r="D31" s="207"/>
      <c r="E31" s="62">
        <f>SUM(E29:E30)</f>
        <v>12948.286382916052</v>
      </c>
      <c r="G31" s="107" t="s">
        <v>92</v>
      </c>
      <c r="H31" s="109">
        <f>H29/H30</f>
        <v>0.21351732086828457</v>
      </c>
      <c r="J31" s="55"/>
    </row>
    <row r="32" spans="1:12" ht="24.95" customHeight="1" x14ac:dyDescent="0.2">
      <c r="A32" s="206"/>
      <c r="B32" s="207" t="s">
        <v>21</v>
      </c>
      <c r="C32" s="207"/>
      <c r="D32" s="207"/>
      <c r="E32" s="62">
        <f>E31*0.2</f>
        <v>2589.6572765832107</v>
      </c>
      <c r="G32" s="107" t="s">
        <v>92</v>
      </c>
      <c r="H32" s="109">
        <f>H29/H30</f>
        <v>0.21351732086828457</v>
      </c>
      <c r="J32" s="55"/>
    </row>
    <row r="33" spans="1:10" ht="24.95" customHeight="1" x14ac:dyDescent="0.2">
      <c r="A33" s="116" t="s">
        <v>26</v>
      </c>
      <c r="B33" s="202"/>
      <c r="C33" s="202"/>
      <c r="D33" s="202"/>
      <c r="E33" s="65">
        <f>SUM(E31:E32)</f>
        <v>15537.943659499262</v>
      </c>
      <c r="J33" s="55"/>
    </row>
    <row r="35" spans="1:10" x14ac:dyDescent="0.2">
      <c r="A35" s="12"/>
      <c r="E35" s="111">
        <f>E47/'2022_new'!E57</f>
        <v>0.72018963315474371</v>
      </c>
    </row>
    <row r="36" spans="1:10" ht="24" customHeight="1" x14ac:dyDescent="0.2">
      <c r="A36" s="205" t="s">
        <v>105</v>
      </c>
      <c r="B36" s="205"/>
      <c r="C36" s="205"/>
      <c r="D36" s="205"/>
      <c r="E36" s="205"/>
    </row>
    <row r="37" spans="1:10" ht="24.95" customHeight="1" x14ac:dyDescent="0.2">
      <c r="A37" s="114" t="s">
        <v>9</v>
      </c>
      <c r="B37" s="114" t="s">
        <v>10</v>
      </c>
      <c r="C37" s="114" t="s">
        <v>11</v>
      </c>
      <c r="D37" s="114" t="s">
        <v>12</v>
      </c>
      <c r="E37" s="114" t="s">
        <v>13</v>
      </c>
    </row>
    <row r="38" spans="1:10" ht="24.95" customHeight="1" x14ac:dyDescent="0.2">
      <c r="A38" s="59" t="s">
        <v>49</v>
      </c>
      <c r="B38" s="114" t="s">
        <v>17</v>
      </c>
      <c r="C38" s="60">
        <v>130</v>
      </c>
      <c r="D38" s="61">
        <f>$C$56</f>
        <v>20.833333333333332</v>
      </c>
      <c r="E38" s="62">
        <f>C38*D38</f>
        <v>2708.333333333333</v>
      </c>
    </row>
    <row r="39" spans="1:10" ht="24.95" customHeight="1" x14ac:dyDescent="0.2">
      <c r="A39" s="59" t="s">
        <v>50</v>
      </c>
      <c r="B39" s="114" t="s">
        <v>17</v>
      </c>
      <c r="C39" s="60">
        <v>90</v>
      </c>
      <c r="D39" s="61">
        <f>$C$57</f>
        <v>17.12962962962963</v>
      </c>
      <c r="E39" s="62">
        <f>C39*D39</f>
        <v>1541.6666666666667</v>
      </c>
      <c r="F39" s="72"/>
      <c r="J39" s="55"/>
    </row>
    <row r="40" spans="1:10" ht="24.95" customHeight="1" x14ac:dyDescent="0.2">
      <c r="A40" s="206" t="s">
        <v>86</v>
      </c>
      <c r="B40" s="207" t="s">
        <v>54</v>
      </c>
      <c r="C40" s="207"/>
      <c r="D40" s="207"/>
      <c r="E40" s="62">
        <f>(E38+E39)</f>
        <v>4250</v>
      </c>
      <c r="G40" s="107"/>
      <c r="H40" s="108"/>
      <c r="J40" s="55"/>
    </row>
    <row r="41" spans="1:10" ht="24.95" customHeight="1" x14ac:dyDescent="0.2">
      <c r="A41" s="206"/>
      <c r="B41" s="207" t="s">
        <v>87</v>
      </c>
      <c r="C41" s="207"/>
      <c r="D41" s="207"/>
      <c r="E41" s="62">
        <v>4183</v>
      </c>
      <c r="F41" s="87"/>
      <c r="G41" s="107"/>
      <c r="H41" s="108"/>
      <c r="J41" s="55"/>
    </row>
    <row r="42" spans="1:10" ht="24.95" customHeight="1" x14ac:dyDescent="0.2">
      <c r="A42" s="206"/>
      <c r="B42" s="207" t="s">
        <v>83</v>
      </c>
      <c r="C42" s="207"/>
      <c r="D42" s="207"/>
      <c r="E42" s="62">
        <v>400</v>
      </c>
      <c r="F42" s="102"/>
      <c r="G42" s="107"/>
      <c r="H42" s="108"/>
      <c r="J42" s="55"/>
    </row>
    <row r="43" spans="1:10" ht="24.95" customHeight="1" x14ac:dyDescent="0.2">
      <c r="A43" s="206"/>
      <c r="B43" s="207" t="s">
        <v>57</v>
      </c>
      <c r="C43" s="207"/>
      <c r="D43" s="207"/>
      <c r="E43" s="62">
        <v>200</v>
      </c>
      <c r="F43" s="102"/>
      <c r="G43" s="107"/>
      <c r="H43" s="108"/>
      <c r="J43" s="55"/>
    </row>
    <row r="44" spans="1:10" ht="24.95" customHeight="1" x14ac:dyDescent="0.2">
      <c r="A44" s="206"/>
      <c r="B44" s="207" t="s">
        <v>20</v>
      </c>
      <c r="C44" s="207"/>
      <c r="D44" s="207"/>
      <c r="E44" s="62">
        <f>SUM(E40:E43)</f>
        <v>9033</v>
      </c>
      <c r="G44" s="107"/>
      <c r="H44" s="109"/>
      <c r="J44" s="55"/>
    </row>
    <row r="45" spans="1:10" ht="24.95" customHeight="1" x14ac:dyDescent="0.2">
      <c r="A45" s="206"/>
      <c r="B45" s="207" t="s">
        <v>21</v>
      </c>
      <c r="C45" s="207"/>
      <c r="D45" s="207"/>
      <c r="E45" s="62">
        <f>E44*0.2</f>
        <v>1806.6000000000001</v>
      </c>
      <c r="G45" s="107"/>
      <c r="H45" s="109"/>
      <c r="J45" s="55"/>
    </row>
    <row r="46" spans="1:10" ht="24.95" customHeight="1" x14ac:dyDescent="0.2">
      <c r="A46" s="116" t="s">
        <v>39</v>
      </c>
      <c r="B46" s="202"/>
      <c r="C46" s="202"/>
      <c r="D46" s="202"/>
      <c r="E46" s="65">
        <f>SUM(E44:E45)</f>
        <v>10839.6</v>
      </c>
      <c r="J46" s="55"/>
    </row>
    <row r="47" spans="1:10" ht="24.95" customHeight="1" x14ac:dyDescent="0.2">
      <c r="A47" s="208" t="s">
        <v>101</v>
      </c>
      <c r="B47" s="208"/>
      <c r="C47" s="208"/>
      <c r="D47" s="208"/>
      <c r="E47" s="65">
        <f>E22+E33+E46</f>
        <v>85290.949866666677</v>
      </c>
      <c r="F47" s="69"/>
      <c r="J47" s="55"/>
    </row>
    <row r="48" spans="1:10" x14ac:dyDescent="0.2">
      <c r="A48" s="12"/>
    </row>
    <row r="49" spans="1:12" x14ac:dyDescent="0.2">
      <c r="A49" s="12"/>
      <c r="E49" s="31"/>
    </row>
    <row r="50" spans="1:12" x14ac:dyDescent="0.2">
      <c r="A50" s="12"/>
    </row>
    <row r="51" spans="1:12" x14ac:dyDescent="0.2">
      <c r="A51" s="12"/>
    </row>
    <row r="52" spans="1:12" x14ac:dyDescent="0.2">
      <c r="A52" s="12"/>
    </row>
    <row r="53" spans="1:12" x14ac:dyDescent="0.2">
      <c r="A53" s="12"/>
    </row>
    <row r="54" spans="1:12" x14ac:dyDescent="0.2">
      <c r="A54" s="12"/>
      <c r="B54" s="54"/>
      <c r="D54" s="43"/>
    </row>
    <row r="55" spans="1:12" ht="64.5" customHeight="1" x14ac:dyDescent="0.2">
      <c r="A55" s="60" t="s">
        <v>0</v>
      </c>
      <c r="B55" s="60" t="s">
        <v>1</v>
      </c>
      <c r="C55" s="60" t="s">
        <v>2</v>
      </c>
      <c r="D55" s="44" t="s">
        <v>77</v>
      </c>
      <c r="E55" s="16"/>
    </row>
    <row r="56" spans="1:12" ht="14.25" customHeight="1" x14ac:dyDescent="0.2">
      <c r="A56" s="115" t="s">
        <v>49</v>
      </c>
      <c r="B56" s="60">
        <v>450</v>
      </c>
      <c r="C56" s="61">
        <f>B56/21.6</f>
        <v>20.833333333333332</v>
      </c>
      <c r="D56" s="45">
        <v>320</v>
      </c>
      <c r="E56" s="14"/>
    </row>
    <row r="57" spans="1:12" x14ac:dyDescent="0.2">
      <c r="A57" s="115" t="s">
        <v>50</v>
      </c>
      <c r="B57" s="60">
        <v>370</v>
      </c>
      <c r="C57" s="61">
        <f>B57/21.6</f>
        <v>17.12962962962963</v>
      </c>
      <c r="D57" s="45">
        <v>290</v>
      </c>
      <c r="E57" s="14"/>
    </row>
    <row r="58" spans="1:12" x14ac:dyDescent="0.2">
      <c r="A58" s="115" t="s">
        <v>51</v>
      </c>
      <c r="B58" s="60">
        <v>290</v>
      </c>
      <c r="C58" s="61">
        <f>B58/21.6</f>
        <v>13.425925925925926</v>
      </c>
      <c r="D58" s="45">
        <v>240</v>
      </c>
      <c r="E58" s="14"/>
    </row>
    <row r="59" spans="1:12" x14ac:dyDescent="0.2">
      <c r="A59" s="115" t="s">
        <v>52</v>
      </c>
      <c r="B59" s="60">
        <v>220</v>
      </c>
      <c r="C59" s="61">
        <f>B59/21.6</f>
        <v>10.185185185185185</v>
      </c>
      <c r="D59" s="45">
        <v>170</v>
      </c>
      <c r="E59" s="14"/>
    </row>
    <row r="60" spans="1:12" s="105" customFormat="1" x14ac:dyDescent="0.2">
      <c r="A60" s="39"/>
      <c r="B60" s="16"/>
      <c r="C60" s="16"/>
      <c r="D60" s="44"/>
      <c r="E60" s="16"/>
      <c r="F60" s="55"/>
      <c r="J60" s="18"/>
      <c r="K60" s="1"/>
      <c r="L60" s="1"/>
    </row>
    <row r="61" spans="1:12" s="105" customFormat="1" x14ac:dyDescent="0.2">
      <c r="A61" s="18"/>
      <c r="B61" s="12"/>
      <c r="C61" s="12"/>
      <c r="D61" s="12"/>
      <c r="E61" s="12"/>
      <c r="F61" s="55"/>
      <c r="J61" s="18"/>
      <c r="K61" s="1"/>
      <c r="L61" s="1"/>
    </row>
    <row r="62" spans="1:12" s="105" customFormat="1" x14ac:dyDescent="0.2">
      <c r="A62" s="18"/>
      <c r="B62" s="12"/>
      <c r="C62" s="12"/>
      <c r="D62" s="12"/>
      <c r="E62" s="12"/>
      <c r="F62" s="55"/>
      <c r="J62" s="18"/>
      <c r="K62" s="1"/>
      <c r="L62" s="1"/>
    </row>
    <row r="63" spans="1:12" s="105" customFormat="1" x14ac:dyDescent="0.2">
      <c r="A63" s="55"/>
      <c r="B63" s="54"/>
      <c r="C63" s="54"/>
      <c r="D63" s="54"/>
      <c r="E63" s="12"/>
      <c r="F63" s="55"/>
      <c r="J63" s="18"/>
      <c r="K63" s="1"/>
      <c r="L63" s="1"/>
    </row>
    <row r="64" spans="1:12" s="105" customFormat="1" x14ac:dyDescent="0.2">
      <c r="A64" s="55"/>
      <c r="B64" s="54"/>
      <c r="C64" s="54"/>
      <c r="D64" s="54"/>
      <c r="E64" s="12"/>
      <c r="F64" s="55"/>
      <c r="J64" s="18"/>
      <c r="K64" s="1"/>
      <c r="L64" s="1"/>
    </row>
    <row r="65" spans="1:12" s="105" customFormat="1" x14ac:dyDescent="0.2">
      <c r="A65" s="55"/>
      <c r="B65" s="54"/>
      <c r="C65" s="54"/>
      <c r="D65" s="54"/>
      <c r="E65" s="12"/>
      <c r="F65" s="55"/>
      <c r="J65" s="18"/>
      <c r="K65" s="1"/>
      <c r="L65" s="1"/>
    </row>
    <row r="66" spans="1:12" s="105" customFormat="1" x14ac:dyDescent="0.2">
      <c r="A66" s="55"/>
      <c r="B66" s="54"/>
      <c r="C66" s="54"/>
      <c r="D66" s="54"/>
      <c r="E66" s="12"/>
      <c r="F66" s="55"/>
      <c r="J66" s="18"/>
      <c r="K66" s="1"/>
      <c r="L66" s="1"/>
    </row>
    <row r="67" spans="1:12" s="105" customFormat="1" x14ac:dyDescent="0.2">
      <c r="A67" s="55"/>
      <c r="B67" s="54"/>
      <c r="C67" s="54"/>
      <c r="D67" s="54"/>
      <c r="E67" s="12"/>
      <c r="F67" s="55"/>
      <c r="J67" s="18"/>
      <c r="K67" s="1"/>
      <c r="L67" s="1"/>
    </row>
    <row r="68" spans="1:12" s="105" customFormat="1" x14ac:dyDescent="0.2">
      <c r="A68" s="55"/>
      <c r="B68" s="54"/>
      <c r="C68" s="54"/>
      <c r="D68" s="54"/>
      <c r="E68" s="12"/>
      <c r="F68" s="55"/>
      <c r="J68" s="18"/>
      <c r="K68" s="1"/>
      <c r="L68" s="1"/>
    </row>
    <row r="69" spans="1:12" s="105" customFormat="1" x14ac:dyDescent="0.2">
      <c r="A69" s="55"/>
      <c r="B69" s="54"/>
      <c r="C69" s="54"/>
      <c r="D69" s="54"/>
      <c r="E69" s="12"/>
      <c r="F69" s="55"/>
      <c r="J69" s="18"/>
      <c r="K69" s="1"/>
      <c r="L69" s="1"/>
    </row>
    <row r="70" spans="1:12" s="105" customFormat="1" x14ac:dyDescent="0.2">
      <c r="A70" s="55"/>
      <c r="B70" s="54"/>
      <c r="C70" s="54"/>
      <c r="D70" s="54"/>
      <c r="E70" s="12"/>
      <c r="F70" s="55"/>
      <c r="J70" s="18"/>
      <c r="K70" s="1"/>
      <c r="L70" s="1"/>
    </row>
    <row r="71" spans="1:12" s="105" customFormat="1" x14ac:dyDescent="0.2">
      <c r="A71" s="55"/>
      <c r="B71" s="54"/>
      <c r="C71" s="54"/>
      <c r="D71" s="54"/>
      <c r="E71" s="12"/>
      <c r="F71" s="55"/>
      <c r="J71" s="18"/>
      <c r="K71" s="1"/>
      <c r="L71" s="1"/>
    </row>
    <row r="72" spans="1:12" s="105" customFormat="1" x14ac:dyDescent="0.2">
      <c r="A72" s="55"/>
      <c r="B72" s="54"/>
      <c r="C72" s="54"/>
      <c r="D72" s="54"/>
      <c r="E72" s="12"/>
      <c r="F72" s="55"/>
      <c r="J72" s="18"/>
      <c r="K72" s="1"/>
      <c r="L72" s="1"/>
    </row>
    <row r="73" spans="1:12" s="105" customFormat="1" x14ac:dyDescent="0.2">
      <c r="A73" s="55"/>
      <c r="B73" s="54"/>
      <c r="C73" s="54"/>
      <c r="D73" s="54"/>
      <c r="E73" s="12"/>
      <c r="F73" s="55"/>
      <c r="J73" s="18"/>
      <c r="K73" s="1"/>
      <c r="L73" s="1"/>
    </row>
    <row r="74" spans="1:12" s="105" customFormat="1" x14ac:dyDescent="0.2">
      <c r="A74" s="55"/>
      <c r="B74" s="54"/>
      <c r="C74" s="54"/>
      <c r="D74" s="54"/>
      <c r="E74" s="12"/>
      <c r="F74" s="55"/>
      <c r="J74" s="18"/>
      <c r="K74" s="1"/>
      <c r="L74" s="1"/>
    </row>
    <row r="75" spans="1:12" s="105" customFormat="1" x14ac:dyDescent="0.2">
      <c r="A75" s="55"/>
      <c r="B75" s="54"/>
      <c r="C75" s="54"/>
      <c r="D75" s="54"/>
      <c r="E75" s="12"/>
      <c r="F75" s="55"/>
      <c r="J75" s="18"/>
      <c r="K75" s="1"/>
      <c r="L75" s="1"/>
    </row>
    <row r="76" spans="1:12" s="12" customFormat="1" x14ac:dyDescent="0.2">
      <c r="A76" s="55"/>
      <c r="B76" s="54"/>
      <c r="C76" s="54"/>
      <c r="D76" s="54"/>
      <c r="F76" s="55"/>
      <c r="G76" s="105"/>
      <c r="H76" s="105"/>
      <c r="I76" s="105"/>
      <c r="J76" s="18"/>
      <c r="K76" s="1"/>
      <c r="L76" s="1"/>
    </row>
    <row r="77" spans="1:12" s="12" customFormat="1" x14ac:dyDescent="0.2">
      <c r="A77" s="55"/>
      <c r="B77" s="54"/>
      <c r="C77" s="54"/>
      <c r="D77" s="54"/>
      <c r="F77" s="55"/>
      <c r="G77" s="105"/>
      <c r="H77" s="105"/>
      <c r="I77" s="105"/>
      <c r="J77" s="18"/>
      <c r="K77" s="1"/>
      <c r="L77" s="1"/>
    </row>
    <row r="78" spans="1:12" s="12" customFormat="1" x14ac:dyDescent="0.2">
      <c r="A78" s="55"/>
      <c r="B78" s="54"/>
      <c r="C78" s="54"/>
      <c r="D78" s="54"/>
      <c r="F78" s="55"/>
      <c r="G78" s="105"/>
      <c r="H78" s="105"/>
      <c r="I78" s="105"/>
      <c r="J78" s="18"/>
      <c r="K78" s="1"/>
      <c r="L78" s="1"/>
    </row>
    <row r="79" spans="1:12" s="12" customFormat="1" x14ac:dyDescent="0.2">
      <c r="A79" s="55"/>
      <c r="B79" s="54"/>
      <c r="C79" s="54"/>
      <c r="D79" s="54"/>
      <c r="F79" s="55"/>
      <c r="G79" s="105"/>
      <c r="H79" s="105"/>
      <c r="I79" s="105"/>
      <c r="J79" s="18"/>
      <c r="K79" s="1"/>
      <c r="L79" s="1"/>
    </row>
    <row r="80" spans="1:12" s="12" customFormat="1" x14ac:dyDescent="0.2">
      <c r="A80" s="55"/>
      <c r="B80" s="54"/>
      <c r="C80" s="54"/>
      <c r="D80" s="54"/>
      <c r="F80" s="55"/>
      <c r="G80" s="105"/>
      <c r="H80" s="105"/>
      <c r="I80" s="105"/>
      <c r="J80" s="18"/>
      <c r="K80" s="1"/>
      <c r="L80" s="1"/>
    </row>
  </sheetData>
  <mergeCells count="27">
    <mergeCell ref="A1:F1"/>
    <mergeCell ref="A2:E2"/>
    <mergeCell ref="A16:A21"/>
    <mergeCell ref="B16:D16"/>
    <mergeCell ref="B17:D17"/>
    <mergeCell ref="B18:D18"/>
    <mergeCell ref="B19:D19"/>
    <mergeCell ref="B20:D20"/>
    <mergeCell ref="B21:D21"/>
    <mergeCell ref="B22:D22"/>
    <mergeCell ref="A24:E24"/>
    <mergeCell ref="A29:A32"/>
    <mergeCell ref="B29:D29"/>
    <mergeCell ref="B30:D30"/>
    <mergeCell ref="B31:D31"/>
    <mergeCell ref="B32:D32"/>
    <mergeCell ref="B46:D46"/>
    <mergeCell ref="B42:D42"/>
    <mergeCell ref="B43:D43"/>
    <mergeCell ref="B33:D33"/>
    <mergeCell ref="A47:D47"/>
    <mergeCell ref="A36:E36"/>
    <mergeCell ref="A40:A45"/>
    <mergeCell ref="B40:D40"/>
    <mergeCell ref="B41:D41"/>
    <mergeCell ref="B44:D44"/>
    <mergeCell ref="B45:D45"/>
  </mergeCells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9"/>
  <sheetViews>
    <sheetView tabSelected="1" workbookViewId="0">
      <selection activeCell="E8" sqref="E8"/>
    </sheetView>
  </sheetViews>
  <sheetFormatPr defaultRowHeight="13.5" x14ac:dyDescent="0.2"/>
  <cols>
    <col min="1" max="1" width="5" style="135" customWidth="1"/>
    <col min="2" max="2" width="37.140625" style="136" customWidth="1"/>
    <col min="3" max="3" width="11.5703125" style="135" customWidth="1"/>
    <col min="4" max="4" width="14.7109375" style="135" customWidth="1"/>
    <col min="5" max="5" width="12.7109375" style="135" customWidth="1"/>
    <col min="7" max="7" width="9.140625" bestFit="1" customWidth="1"/>
  </cols>
  <sheetData>
    <row r="1" spans="1:6" ht="20.25" x14ac:dyDescent="0.2">
      <c r="A1" s="215" t="s">
        <v>108</v>
      </c>
      <c r="B1" s="215"/>
      <c r="C1" s="215"/>
      <c r="D1" s="215"/>
      <c r="E1" s="215"/>
    </row>
    <row r="2" spans="1:6" ht="122.45" customHeight="1" x14ac:dyDescent="0.2">
      <c r="A2" s="216" t="s">
        <v>136</v>
      </c>
      <c r="B2" s="216"/>
      <c r="C2" s="216"/>
      <c r="D2" s="216"/>
      <c r="E2" s="216"/>
    </row>
    <row r="3" spans="1:6" x14ac:dyDescent="0.2">
      <c r="A3" s="126"/>
      <c r="B3" s="127"/>
      <c r="C3" s="126"/>
      <c r="D3" s="126"/>
      <c r="E3" s="126"/>
    </row>
    <row r="4" spans="1:6" ht="42.75" x14ac:dyDescent="0.2">
      <c r="A4" s="128" t="s">
        <v>109</v>
      </c>
      <c r="B4" s="128" t="s">
        <v>110</v>
      </c>
      <c r="C4" s="128" t="s">
        <v>111</v>
      </c>
      <c r="D4" s="128" t="s">
        <v>112</v>
      </c>
      <c r="E4" s="128" t="s">
        <v>113</v>
      </c>
    </row>
    <row r="5" spans="1:6" ht="27" x14ac:dyDescent="0.2">
      <c r="A5" s="129">
        <v>1</v>
      </c>
      <c r="B5" s="130" t="s">
        <v>114</v>
      </c>
      <c r="C5" s="129">
        <v>12</v>
      </c>
      <c r="D5" s="131">
        <v>750</v>
      </c>
      <c r="E5" s="131">
        <f>C5*D5</f>
        <v>9000</v>
      </c>
    </row>
    <row r="6" spans="1:6" ht="27" x14ac:dyDescent="0.2">
      <c r="A6" s="129">
        <v>2</v>
      </c>
      <c r="B6" s="130" t="s">
        <v>115</v>
      </c>
      <c r="C6" s="129">
        <v>12</v>
      </c>
      <c r="D6" s="131">
        <v>180</v>
      </c>
      <c r="E6" s="131">
        <f>C6*D6</f>
        <v>2160</v>
      </c>
    </row>
    <row r="7" spans="1:6" ht="27" x14ac:dyDescent="0.2">
      <c r="A7" s="129">
        <v>3</v>
      </c>
      <c r="B7" s="130" t="s">
        <v>116</v>
      </c>
      <c r="C7" s="129"/>
      <c r="D7" s="131"/>
      <c r="E7" s="131"/>
    </row>
    <row r="8" spans="1:6" ht="18" customHeight="1" x14ac:dyDescent="0.2">
      <c r="A8" s="132">
        <v>3.1</v>
      </c>
      <c r="B8" s="133" t="s">
        <v>117</v>
      </c>
      <c r="C8" s="129">
        <v>12</v>
      </c>
      <c r="D8" s="131">
        <v>285</v>
      </c>
      <c r="E8" s="131">
        <f>C8*D8</f>
        <v>3420</v>
      </c>
    </row>
    <row r="9" spans="1:6" x14ac:dyDescent="0.2">
      <c r="A9" s="132">
        <v>3.2</v>
      </c>
      <c r="B9" s="133" t="s">
        <v>118</v>
      </c>
      <c r="C9" s="129">
        <v>12</v>
      </c>
      <c r="D9" s="131">
        <v>70.852999999999994</v>
      </c>
      <c r="E9" s="131">
        <f t="shared" ref="E9:E26" si="0">C9*D9</f>
        <v>850.23599999999988</v>
      </c>
    </row>
    <row r="10" spans="1:6" x14ac:dyDescent="0.2">
      <c r="A10" s="132">
        <v>3.3</v>
      </c>
      <c r="B10" s="133" t="s">
        <v>119</v>
      </c>
      <c r="C10" s="129">
        <v>12</v>
      </c>
      <c r="D10" s="131">
        <v>30</v>
      </c>
      <c r="E10" s="131">
        <f t="shared" si="0"/>
        <v>360</v>
      </c>
    </row>
    <row r="11" spans="1:6" x14ac:dyDescent="0.2">
      <c r="A11" s="129">
        <v>4</v>
      </c>
      <c r="B11" s="130" t="s">
        <v>120</v>
      </c>
      <c r="C11" s="129"/>
      <c r="D11" s="131"/>
      <c r="E11" s="131"/>
    </row>
    <row r="12" spans="1:6" x14ac:dyDescent="0.2">
      <c r="A12" s="132">
        <v>4.0999999999999996</v>
      </c>
      <c r="B12" s="133" t="s">
        <v>121</v>
      </c>
      <c r="C12" s="129">
        <v>12</v>
      </c>
      <c r="D12" s="131">
        <v>20</v>
      </c>
      <c r="E12" s="131">
        <f t="shared" si="0"/>
        <v>240</v>
      </c>
    </row>
    <row r="13" spans="1:6" x14ac:dyDescent="0.2">
      <c r="A13" s="132">
        <v>4.2</v>
      </c>
      <c r="B13" s="133" t="s">
        <v>122</v>
      </c>
      <c r="C13" s="129">
        <v>12</v>
      </c>
      <c r="D13" s="131">
        <v>20</v>
      </c>
      <c r="E13" s="131">
        <f t="shared" si="0"/>
        <v>240</v>
      </c>
    </row>
    <row r="14" spans="1:6" x14ac:dyDescent="0.2">
      <c r="A14" s="132">
        <v>4.3</v>
      </c>
      <c r="B14" s="133" t="s">
        <v>123</v>
      </c>
      <c r="C14" s="129">
        <v>12</v>
      </c>
      <c r="D14" s="131">
        <v>20</v>
      </c>
      <c r="E14" s="131">
        <f t="shared" si="0"/>
        <v>240</v>
      </c>
    </row>
    <row r="15" spans="1:6" x14ac:dyDescent="0.2">
      <c r="A15" s="134">
        <v>5</v>
      </c>
      <c r="B15" s="173" t="s">
        <v>124</v>
      </c>
      <c r="C15" s="134"/>
      <c r="D15" s="174" t="s">
        <v>125</v>
      </c>
      <c r="E15" s="174"/>
      <c r="F15" s="175"/>
    </row>
    <row r="16" spans="1:6" x14ac:dyDescent="0.2">
      <c r="A16" s="176">
        <v>5.0999999999999996</v>
      </c>
      <c r="B16" s="177" t="s">
        <v>126</v>
      </c>
      <c r="C16" s="134">
        <v>4</v>
      </c>
      <c r="D16" s="174">
        <v>50</v>
      </c>
      <c r="E16" s="174">
        <f t="shared" si="0"/>
        <v>200</v>
      </c>
      <c r="F16" s="175"/>
    </row>
    <row r="17" spans="1:7" x14ac:dyDescent="0.2">
      <c r="A17" s="176">
        <v>5.2</v>
      </c>
      <c r="B17" s="177" t="s">
        <v>127</v>
      </c>
      <c r="C17" s="134">
        <v>4</v>
      </c>
      <c r="D17" s="174">
        <v>25</v>
      </c>
      <c r="E17" s="174">
        <f t="shared" si="0"/>
        <v>100</v>
      </c>
      <c r="F17" s="175"/>
    </row>
    <row r="18" spans="1:7" x14ac:dyDescent="0.2">
      <c r="A18" s="176">
        <v>5.3</v>
      </c>
      <c r="B18" s="177" t="s">
        <v>128</v>
      </c>
      <c r="C18" s="134">
        <v>4</v>
      </c>
      <c r="D18" s="174">
        <v>50</v>
      </c>
      <c r="E18" s="174">
        <f t="shared" si="0"/>
        <v>200</v>
      </c>
      <c r="F18" s="175"/>
    </row>
    <row r="19" spans="1:7" x14ac:dyDescent="0.2">
      <c r="A19" s="176">
        <v>5.4</v>
      </c>
      <c r="B19" s="177" t="s">
        <v>129</v>
      </c>
      <c r="C19" s="134">
        <v>4</v>
      </c>
      <c r="D19" s="174">
        <v>15</v>
      </c>
      <c r="E19" s="174">
        <f t="shared" si="0"/>
        <v>60</v>
      </c>
      <c r="F19" s="175"/>
    </row>
    <row r="20" spans="1:7" x14ac:dyDescent="0.2">
      <c r="A20" s="176">
        <v>5.5</v>
      </c>
      <c r="B20" s="177" t="s">
        <v>130</v>
      </c>
      <c r="C20" s="134">
        <v>12</v>
      </c>
      <c r="D20" s="174">
        <v>6</v>
      </c>
      <c r="E20" s="174">
        <f t="shared" si="0"/>
        <v>72</v>
      </c>
      <c r="F20" s="175"/>
    </row>
    <row r="21" spans="1:7" x14ac:dyDescent="0.2">
      <c r="A21" s="176">
        <v>5.6</v>
      </c>
      <c r="B21" s="177" t="s">
        <v>133</v>
      </c>
      <c r="C21" s="134">
        <v>1</v>
      </c>
      <c r="D21" s="174">
        <v>30</v>
      </c>
      <c r="E21" s="174">
        <f t="shared" si="0"/>
        <v>30</v>
      </c>
      <c r="F21" s="175"/>
    </row>
    <row r="22" spans="1:7" x14ac:dyDescent="0.2">
      <c r="A22" s="134">
        <v>7</v>
      </c>
      <c r="B22" s="173" t="s">
        <v>131</v>
      </c>
      <c r="C22" s="134">
        <v>4</v>
      </c>
      <c r="D22" s="174">
        <v>80</v>
      </c>
      <c r="E22" s="174">
        <f t="shared" si="0"/>
        <v>320</v>
      </c>
      <c r="F22" s="175"/>
      <c r="G22" s="123"/>
    </row>
    <row r="23" spans="1:7" x14ac:dyDescent="0.2">
      <c r="A23" s="134">
        <v>8</v>
      </c>
      <c r="B23" s="173" t="s">
        <v>134</v>
      </c>
      <c r="C23" s="134">
        <v>1</v>
      </c>
      <c r="D23" s="174">
        <v>310</v>
      </c>
      <c r="E23" s="174">
        <f t="shared" si="0"/>
        <v>310</v>
      </c>
      <c r="F23" s="175"/>
    </row>
    <row r="24" spans="1:7" ht="27" x14ac:dyDescent="0.2">
      <c r="A24" s="134">
        <v>9</v>
      </c>
      <c r="B24" s="173" t="s">
        <v>135</v>
      </c>
      <c r="C24" s="134">
        <v>1</v>
      </c>
      <c r="D24" s="174">
        <v>240</v>
      </c>
      <c r="E24" s="174">
        <f t="shared" si="0"/>
        <v>240</v>
      </c>
      <c r="F24" s="175"/>
    </row>
    <row r="25" spans="1:7" ht="40.5" x14ac:dyDescent="0.2">
      <c r="A25" s="134">
        <v>10</v>
      </c>
      <c r="B25" s="173" t="s">
        <v>141</v>
      </c>
      <c r="C25" s="134">
        <v>1</v>
      </c>
      <c r="D25" s="174">
        <v>1380</v>
      </c>
      <c r="E25" s="174">
        <f t="shared" si="0"/>
        <v>1380</v>
      </c>
      <c r="F25" s="175"/>
      <c r="G25" s="145"/>
    </row>
    <row r="26" spans="1:7" ht="40.5" x14ac:dyDescent="0.2">
      <c r="A26" s="134">
        <v>11</v>
      </c>
      <c r="B26" s="173" t="s">
        <v>142</v>
      </c>
      <c r="C26" s="134">
        <v>12</v>
      </c>
      <c r="D26" s="174">
        <v>142.5</v>
      </c>
      <c r="E26" s="174">
        <f t="shared" si="0"/>
        <v>1710</v>
      </c>
      <c r="F26" s="175"/>
      <c r="G26" s="145"/>
    </row>
    <row r="27" spans="1:7" ht="14.25" x14ac:dyDescent="0.2">
      <c r="A27" s="217" t="s">
        <v>132</v>
      </c>
      <c r="B27" s="218"/>
      <c r="C27" s="218"/>
      <c r="D27" s="219"/>
      <c r="E27" s="178">
        <f>SUM(E5:E26)</f>
        <v>21132.236000000001</v>
      </c>
      <c r="F27" s="175"/>
    </row>
    <row r="28" spans="1:7" x14ac:dyDescent="0.2">
      <c r="A28" s="179"/>
      <c r="B28" s="180"/>
      <c r="C28" s="179"/>
      <c r="D28" s="179"/>
      <c r="E28" s="179"/>
      <c r="F28" s="175"/>
    </row>
    <row r="31" spans="1:7" x14ac:dyDescent="0.2">
      <c r="C31" s="137"/>
    </row>
    <row r="32" spans="1:7" x14ac:dyDescent="0.2">
      <c r="C32" s="137"/>
    </row>
    <row r="33" spans="3:3" x14ac:dyDescent="0.2">
      <c r="C33" s="137"/>
    </row>
    <row r="34" spans="3:3" x14ac:dyDescent="0.2">
      <c r="C34" s="137"/>
    </row>
    <row r="35" spans="3:3" x14ac:dyDescent="0.2">
      <c r="C35" s="137"/>
    </row>
    <row r="36" spans="3:3" x14ac:dyDescent="0.2">
      <c r="C36" s="137"/>
    </row>
    <row r="37" spans="3:3" x14ac:dyDescent="0.2">
      <c r="C37" s="137"/>
    </row>
    <row r="38" spans="3:3" x14ac:dyDescent="0.2">
      <c r="C38" s="137"/>
    </row>
    <row r="39" spans="3:3" ht="14.25" x14ac:dyDescent="0.2">
      <c r="C39" s="138"/>
    </row>
  </sheetData>
  <mergeCells count="3">
    <mergeCell ref="A1:E1"/>
    <mergeCell ref="A2:E2"/>
    <mergeCell ref="A27:D2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80"/>
  <sheetViews>
    <sheetView topLeftCell="A25" workbookViewId="0">
      <selection activeCell="B29" sqref="B29:D29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55" bestFit="1" customWidth="1"/>
    <col min="7" max="7" width="21.140625" style="105" customWidth="1"/>
    <col min="8" max="8" width="13.85546875" style="105" customWidth="1"/>
    <col min="9" max="9" width="9.140625" style="105"/>
    <col min="10" max="10" width="9.140625" style="18"/>
    <col min="11" max="16384" width="9.140625" style="1"/>
  </cols>
  <sheetData>
    <row r="1" spans="1:12" x14ac:dyDescent="0.2">
      <c r="A1" s="201" t="s">
        <v>104</v>
      </c>
      <c r="B1" s="201"/>
      <c r="C1" s="201"/>
      <c r="D1" s="201"/>
      <c r="E1" s="201"/>
      <c r="F1" s="201"/>
    </row>
    <row r="2" spans="1:12" ht="20.100000000000001" customHeight="1" x14ac:dyDescent="0.2">
      <c r="A2" s="205" t="s">
        <v>8</v>
      </c>
      <c r="B2" s="205"/>
      <c r="C2" s="205"/>
      <c r="D2" s="205"/>
      <c r="E2" s="205"/>
    </row>
    <row r="3" spans="1:12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  <c r="G3" s="112"/>
      <c r="H3" s="112"/>
    </row>
    <row r="4" spans="1:12" ht="30" customHeight="1" x14ac:dyDescent="0.2">
      <c r="A4" s="57" t="s">
        <v>85</v>
      </c>
      <c r="B4" s="58"/>
      <c r="C4" s="58"/>
      <c r="D4" s="58"/>
      <c r="E4" s="58"/>
      <c r="G4" s="112"/>
      <c r="H4" s="112"/>
    </row>
    <row r="5" spans="1:12" ht="19.899999999999999" customHeight="1" x14ac:dyDescent="0.2">
      <c r="A5" s="59" t="s">
        <v>49</v>
      </c>
      <c r="B5" s="114" t="s">
        <v>17</v>
      </c>
      <c r="C5" s="60">
        <v>275</v>
      </c>
      <c r="D5" s="61">
        <f>$C$56</f>
        <v>21.296296296296294</v>
      </c>
      <c r="E5" s="62">
        <f>C5*D5</f>
        <v>5856.4814814814808</v>
      </c>
      <c r="F5" s="76"/>
      <c r="G5" s="112"/>
      <c r="H5" s="112"/>
      <c r="J5" s="55"/>
    </row>
    <row r="6" spans="1:12" ht="19.899999999999999" customHeight="1" x14ac:dyDescent="0.2">
      <c r="A6" s="59" t="s">
        <v>50</v>
      </c>
      <c r="B6" s="114" t="s">
        <v>17</v>
      </c>
      <c r="C6" s="60">
        <v>95</v>
      </c>
      <c r="D6" s="61">
        <f>$C$57</f>
        <v>17.592592592592592</v>
      </c>
      <c r="E6" s="62">
        <f>C6*D6</f>
        <v>1671.2962962962963</v>
      </c>
      <c r="F6" s="72"/>
      <c r="G6" s="112"/>
      <c r="H6" s="112"/>
    </row>
    <row r="7" spans="1:12" ht="30" customHeight="1" x14ac:dyDescent="0.2">
      <c r="A7" s="57" t="s">
        <v>15</v>
      </c>
      <c r="B7" s="114"/>
      <c r="C7" s="60"/>
      <c r="D7" s="61"/>
      <c r="E7" s="62"/>
      <c r="G7" s="112"/>
      <c r="H7" s="112"/>
    </row>
    <row r="8" spans="1:12" ht="19.899999999999999" customHeight="1" x14ac:dyDescent="0.2">
      <c r="A8" s="59" t="s">
        <v>49</v>
      </c>
      <c r="B8" s="114" t="s">
        <v>17</v>
      </c>
      <c r="C8" s="60">
        <v>405</v>
      </c>
      <c r="D8" s="61">
        <f>$C$56</f>
        <v>21.296296296296294</v>
      </c>
      <c r="E8" s="62">
        <f>C8*D8</f>
        <v>8625</v>
      </c>
      <c r="G8" s="112"/>
      <c r="H8" s="112"/>
    </row>
    <row r="9" spans="1:12" ht="19.899999999999999" customHeight="1" x14ac:dyDescent="0.2">
      <c r="A9" s="59" t="s">
        <v>50</v>
      </c>
      <c r="B9" s="114" t="s">
        <v>17</v>
      </c>
      <c r="C9" s="60">
        <v>230</v>
      </c>
      <c r="D9" s="61">
        <f>$C$57</f>
        <v>17.592592592592592</v>
      </c>
      <c r="E9" s="62">
        <f>C9*D9</f>
        <v>4046.2962962962961</v>
      </c>
      <c r="F9" s="72"/>
      <c r="G9" s="112"/>
      <c r="H9" s="112"/>
    </row>
    <row r="10" spans="1:12" ht="50.1" customHeight="1" x14ac:dyDescent="0.2">
      <c r="A10" s="57" t="s">
        <v>16</v>
      </c>
      <c r="B10" s="114"/>
      <c r="C10" s="60"/>
      <c r="D10" s="61"/>
      <c r="E10" s="62"/>
      <c r="G10" s="112"/>
      <c r="H10" s="112"/>
    </row>
    <row r="11" spans="1:12" ht="19.899999999999999" customHeight="1" x14ac:dyDescent="0.2">
      <c r="A11" s="59" t="s">
        <v>49</v>
      </c>
      <c r="B11" s="114" t="s">
        <v>17</v>
      </c>
      <c r="C11" s="60">
        <v>325</v>
      </c>
      <c r="D11" s="61">
        <f>$C$56</f>
        <v>21.296296296296294</v>
      </c>
      <c r="E11" s="62">
        <f>C11*D11</f>
        <v>6921.2962962962956</v>
      </c>
      <c r="G11" s="112"/>
      <c r="H11" s="112"/>
    </row>
    <row r="12" spans="1:12" ht="19.899999999999999" customHeight="1" x14ac:dyDescent="0.2">
      <c r="A12" s="59" t="s">
        <v>50</v>
      </c>
      <c r="B12" s="114" t="s">
        <v>17</v>
      </c>
      <c r="C12" s="60">
        <v>315</v>
      </c>
      <c r="D12" s="61">
        <f>$C$57</f>
        <v>17.592592592592592</v>
      </c>
      <c r="E12" s="62">
        <f>C12*D12</f>
        <v>5541.6666666666661</v>
      </c>
      <c r="F12" s="72"/>
      <c r="G12" s="112"/>
      <c r="H12" s="112"/>
    </row>
    <row r="13" spans="1:12" ht="41.45" customHeight="1" x14ac:dyDescent="0.2">
      <c r="A13" s="57" t="s">
        <v>40</v>
      </c>
      <c r="B13" s="114"/>
      <c r="C13" s="60"/>
      <c r="D13" s="61"/>
      <c r="E13" s="62"/>
      <c r="G13" s="112"/>
      <c r="H13" s="112"/>
    </row>
    <row r="14" spans="1:12" ht="19.899999999999999" customHeight="1" x14ac:dyDescent="0.2">
      <c r="A14" s="59" t="s">
        <v>49</v>
      </c>
      <c r="B14" s="114" t="s">
        <v>17</v>
      </c>
      <c r="C14" s="60"/>
      <c r="D14" s="61">
        <f>$C$56</f>
        <v>21.296296296296294</v>
      </c>
      <c r="E14" s="62">
        <f>C14*D14</f>
        <v>0</v>
      </c>
      <c r="G14" s="112"/>
      <c r="H14" s="112"/>
      <c r="J14" s="55"/>
      <c r="K14" s="113"/>
      <c r="L14" s="113"/>
    </row>
    <row r="15" spans="1:12" ht="19.899999999999999" customHeight="1" x14ac:dyDescent="0.2">
      <c r="A15" s="59" t="s">
        <v>50</v>
      </c>
      <c r="B15" s="114" t="s">
        <v>17</v>
      </c>
      <c r="C15" s="60"/>
      <c r="D15" s="61">
        <f>$C$57</f>
        <v>17.592592592592592</v>
      </c>
      <c r="E15" s="62">
        <f>C15*D15</f>
        <v>0</v>
      </c>
      <c r="F15" s="72"/>
      <c r="G15" s="112"/>
      <c r="H15" s="112"/>
      <c r="J15" s="55"/>
      <c r="K15" s="113"/>
      <c r="L15" s="113"/>
    </row>
    <row r="16" spans="1:12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32662.037037037036</v>
      </c>
      <c r="G16" s="112"/>
      <c r="H16" s="112"/>
      <c r="J16" s="55"/>
      <c r="K16" s="113"/>
      <c r="L16" s="113"/>
    </row>
    <row r="17" spans="1:12" ht="24.95" customHeight="1" x14ac:dyDescent="0.2">
      <c r="A17" s="206"/>
      <c r="B17" s="207" t="s">
        <v>87</v>
      </c>
      <c r="C17" s="207"/>
      <c r="D17" s="207"/>
      <c r="E17" s="62">
        <f>H19*H22</f>
        <v>13326.1560576881</v>
      </c>
      <c r="F17" s="76"/>
      <c r="G17" s="112"/>
      <c r="H17" s="112"/>
      <c r="J17" s="55"/>
      <c r="K17" s="113"/>
      <c r="L17" s="113"/>
    </row>
    <row r="18" spans="1:12" ht="24.95" customHeight="1" x14ac:dyDescent="0.2">
      <c r="A18" s="206"/>
      <c r="B18" s="207" t="s">
        <v>83</v>
      </c>
      <c r="C18" s="207"/>
      <c r="D18" s="207"/>
      <c r="E18" s="62">
        <v>800</v>
      </c>
      <c r="G18" s="121"/>
      <c r="H18" s="112"/>
      <c r="J18" s="55"/>
      <c r="K18" s="113"/>
      <c r="L18" s="113"/>
    </row>
    <row r="19" spans="1:12" ht="24.95" customHeight="1" x14ac:dyDescent="0.2">
      <c r="A19" s="206"/>
      <c r="B19" s="207" t="s">
        <v>57</v>
      </c>
      <c r="C19" s="207"/>
      <c r="D19" s="207"/>
      <c r="E19" s="62">
        <v>600</v>
      </c>
      <c r="G19" s="122" t="s">
        <v>94</v>
      </c>
      <c r="H19" s="123">
        <v>17262.236000000001</v>
      </c>
      <c r="J19" s="55"/>
      <c r="K19" s="113"/>
      <c r="L19" s="113"/>
    </row>
    <row r="20" spans="1:12" ht="24.95" customHeight="1" x14ac:dyDescent="0.2">
      <c r="A20" s="206"/>
      <c r="B20" s="207" t="s">
        <v>20</v>
      </c>
      <c r="C20" s="207"/>
      <c r="D20" s="207"/>
      <c r="E20" s="62">
        <f>SUM(E16:E17)+E18+E19</f>
        <v>47388.193094725139</v>
      </c>
      <c r="G20" s="122" t="s">
        <v>18</v>
      </c>
      <c r="H20" s="123">
        <f>E16</f>
        <v>32662.037037037036</v>
      </c>
      <c r="J20" s="55"/>
      <c r="K20" s="113"/>
      <c r="L20" s="113"/>
    </row>
    <row r="21" spans="1:12" ht="24.95" customHeight="1" x14ac:dyDescent="0.2">
      <c r="A21" s="206"/>
      <c r="B21" s="207" t="s">
        <v>21</v>
      </c>
      <c r="C21" s="207"/>
      <c r="D21" s="207"/>
      <c r="E21" s="62">
        <f>E20*0.2</f>
        <v>9477.6386189450277</v>
      </c>
      <c r="F21" s="72"/>
      <c r="G21" s="122" t="s">
        <v>91</v>
      </c>
      <c r="H21" s="123">
        <f>E16+E29</f>
        <v>42309.259259259255</v>
      </c>
      <c r="J21" s="55"/>
      <c r="K21" s="113"/>
      <c r="L21" s="113"/>
    </row>
    <row r="22" spans="1:12" ht="24.95" customHeight="1" x14ac:dyDescent="0.2">
      <c r="A22" s="116" t="s">
        <v>22</v>
      </c>
      <c r="B22" s="202"/>
      <c r="C22" s="202"/>
      <c r="D22" s="202"/>
      <c r="E22" s="65">
        <f>SUM(E20:E21)</f>
        <v>56865.831713670166</v>
      </c>
      <c r="G22" s="122" t="s">
        <v>92</v>
      </c>
      <c r="H22" s="124">
        <f>H20/H21</f>
        <v>0.77198319254169046</v>
      </c>
      <c r="J22" s="55"/>
      <c r="K22" s="113"/>
      <c r="L22" s="113"/>
    </row>
    <row r="23" spans="1:12" ht="24.95" customHeight="1" x14ac:dyDescent="0.2">
      <c r="A23" s="33"/>
      <c r="B23" s="34"/>
      <c r="C23" s="34"/>
      <c r="D23" s="34"/>
      <c r="E23" s="35"/>
      <c r="G23" s="112"/>
      <c r="H23" s="112"/>
    </row>
    <row r="24" spans="1:12" ht="24" customHeight="1" x14ac:dyDescent="0.2">
      <c r="A24" s="205" t="s">
        <v>102</v>
      </c>
      <c r="B24" s="205"/>
      <c r="C24" s="205"/>
      <c r="D24" s="205"/>
      <c r="E24" s="205"/>
      <c r="G24" s="112"/>
      <c r="H24" s="112"/>
    </row>
    <row r="25" spans="1:12" ht="24.95" customHeight="1" x14ac:dyDescent="0.2">
      <c r="A25" s="114" t="s">
        <v>9</v>
      </c>
      <c r="B25" s="114" t="s">
        <v>10</v>
      </c>
      <c r="C25" s="114" t="s">
        <v>11</v>
      </c>
      <c r="D25" s="114" t="s">
        <v>12</v>
      </c>
      <c r="E25" s="114" t="s">
        <v>13</v>
      </c>
      <c r="G25" s="112"/>
      <c r="H25" s="112"/>
    </row>
    <row r="26" spans="1:12" ht="24.95" customHeight="1" x14ac:dyDescent="0.2">
      <c r="A26" s="115" t="s">
        <v>23</v>
      </c>
      <c r="B26" s="114" t="s">
        <v>17</v>
      </c>
      <c r="C26" s="60">
        <v>252</v>
      </c>
      <c r="D26" s="61">
        <f>C59</f>
        <v>10.648148148148147</v>
      </c>
      <c r="E26" s="62">
        <f>C26*D26</f>
        <v>2683.333333333333</v>
      </c>
      <c r="G26" s="112"/>
      <c r="H26" s="112"/>
    </row>
    <row r="27" spans="1:12" ht="24.95" customHeight="1" x14ac:dyDescent="0.2">
      <c r="A27" s="115" t="s">
        <v>24</v>
      </c>
      <c r="B27" s="114" t="s">
        <v>17</v>
      </c>
      <c r="C27" s="60">
        <v>25</v>
      </c>
      <c r="D27" s="61">
        <f>C56</f>
        <v>21.296296296296294</v>
      </c>
      <c r="E27" s="62">
        <f>C27*D27</f>
        <v>532.40740740740739</v>
      </c>
      <c r="F27" s="72"/>
      <c r="G27" s="112"/>
      <c r="H27" s="112"/>
      <c r="J27" s="55"/>
    </row>
    <row r="28" spans="1:12" ht="24.95" customHeight="1" x14ac:dyDescent="0.2">
      <c r="A28" s="115" t="s">
        <v>25</v>
      </c>
      <c r="B28" s="114"/>
      <c r="C28" s="68"/>
      <c r="D28" s="68"/>
      <c r="E28" s="62">
        <f>SUM(E26:E27)</f>
        <v>3215.7407407407404</v>
      </c>
      <c r="G28" s="122" t="s">
        <v>94</v>
      </c>
      <c r="H28" s="123">
        <v>17262.236000000001</v>
      </c>
      <c r="J28" s="55"/>
    </row>
    <row r="29" spans="1:12" ht="24.95" customHeight="1" x14ac:dyDescent="0.2">
      <c r="A29" s="206" t="s">
        <v>86</v>
      </c>
      <c r="B29" s="207" t="s">
        <v>79</v>
      </c>
      <c r="C29" s="207"/>
      <c r="D29" s="207"/>
      <c r="E29" s="62">
        <f>3*(E26+E27)</f>
        <v>9647.2222222222208</v>
      </c>
      <c r="G29" s="122" t="s">
        <v>18</v>
      </c>
      <c r="H29" s="123">
        <f>E29</f>
        <v>9647.2222222222208</v>
      </c>
      <c r="J29" s="55"/>
    </row>
    <row r="30" spans="1:12" ht="24.95" customHeight="1" x14ac:dyDescent="0.2">
      <c r="A30" s="206"/>
      <c r="B30" s="207" t="s">
        <v>87</v>
      </c>
      <c r="C30" s="207"/>
      <c r="D30" s="207"/>
      <c r="E30" s="62">
        <f>H28*H31</f>
        <v>3936.0799423119006</v>
      </c>
      <c r="F30" s="87"/>
      <c r="G30" s="122" t="s">
        <v>91</v>
      </c>
      <c r="H30" s="123">
        <f>H21</f>
        <v>42309.259259259255</v>
      </c>
      <c r="J30" s="55"/>
    </row>
    <row r="31" spans="1:12" ht="24.95" customHeight="1" x14ac:dyDescent="0.2">
      <c r="A31" s="206"/>
      <c r="B31" s="207" t="s">
        <v>20</v>
      </c>
      <c r="C31" s="207"/>
      <c r="D31" s="207"/>
      <c r="E31" s="62">
        <f>SUM(E29:E30)</f>
        <v>13583.302164534121</v>
      </c>
      <c r="G31" s="122" t="s">
        <v>92</v>
      </c>
      <c r="H31" s="124">
        <f>H29/H30</f>
        <v>0.2280168074583096</v>
      </c>
      <c r="J31" s="55"/>
    </row>
    <row r="32" spans="1:12" ht="24.95" customHeight="1" x14ac:dyDescent="0.2">
      <c r="A32" s="206"/>
      <c r="B32" s="207" t="s">
        <v>21</v>
      </c>
      <c r="C32" s="207"/>
      <c r="D32" s="207"/>
      <c r="E32" s="62">
        <f>E31*0.2</f>
        <v>2716.6604329068246</v>
      </c>
      <c r="G32" s="122" t="s">
        <v>92</v>
      </c>
      <c r="H32" s="124">
        <f>H29/H30</f>
        <v>0.2280168074583096</v>
      </c>
      <c r="J32" s="55"/>
    </row>
    <row r="33" spans="1:10" ht="24.95" customHeight="1" x14ac:dyDescent="0.2">
      <c r="A33" s="116" t="s">
        <v>26</v>
      </c>
      <c r="B33" s="202"/>
      <c r="C33" s="202"/>
      <c r="D33" s="202"/>
      <c r="E33" s="65">
        <f>SUM(E31:E32)</f>
        <v>16299.962597440946</v>
      </c>
      <c r="J33" s="55"/>
    </row>
    <row r="35" spans="1:10" x14ac:dyDescent="0.2">
      <c r="A35" s="12"/>
      <c r="E35" s="111">
        <f>E47/'2022_new'!E57</f>
        <v>0.8873818008789065</v>
      </c>
      <c r="G35" s="112"/>
      <c r="H35" s="112"/>
    </row>
    <row r="36" spans="1:10" ht="24" customHeight="1" x14ac:dyDescent="0.2">
      <c r="A36" s="205" t="s">
        <v>105</v>
      </c>
      <c r="B36" s="205"/>
      <c r="C36" s="205"/>
      <c r="D36" s="205"/>
      <c r="E36" s="205"/>
      <c r="G36" s="112"/>
      <c r="H36" s="112"/>
    </row>
    <row r="37" spans="1:10" ht="24.95" customHeight="1" x14ac:dyDescent="0.2">
      <c r="A37" s="114" t="s">
        <v>9</v>
      </c>
      <c r="B37" s="114" t="s">
        <v>10</v>
      </c>
      <c r="C37" s="114" t="s">
        <v>11</v>
      </c>
      <c r="D37" s="114" t="s">
        <v>12</v>
      </c>
      <c r="E37" s="114" t="s">
        <v>13</v>
      </c>
      <c r="G37" s="112"/>
      <c r="H37" s="112"/>
    </row>
    <row r="38" spans="1:10" ht="24.95" customHeight="1" x14ac:dyDescent="0.2">
      <c r="A38" s="59" t="s">
        <v>49</v>
      </c>
      <c r="B38" s="114" t="s">
        <v>17</v>
      </c>
      <c r="C38" s="60">
        <f>130*3</f>
        <v>390</v>
      </c>
      <c r="D38" s="61">
        <f>$C$56</f>
        <v>21.296296296296294</v>
      </c>
      <c r="E38" s="62">
        <f>C38*D38</f>
        <v>8305.5555555555547</v>
      </c>
      <c r="G38" s="112"/>
      <c r="H38" s="112"/>
    </row>
    <row r="39" spans="1:10" ht="24.95" customHeight="1" x14ac:dyDescent="0.2">
      <c r="A39" s="59" t="s">
        <v>50</v>
      </c>
      <c r="B39" s="114" t="s">
        <v>17</v>
      </c>
      <c r="C39" s="60">
        <f>90*3</f>
        <v>270</v>
      </c>
      <c r="D39" s="61">
        <f>$C$57</f>
        <v>17.592592592592592</v>
      </c>
      <c r="E39" s="62">
        <f>C39*D39</f>
        <v>4750</v>
      </c>
      <c r="F39" s="72"/>
      <c r="G39" s="112"/>
      <c r="H39" s="112"/>
      <c r="J39" s="55"/>
    </row>
    <row r="40" spans="1:10" ht="24.95" customHeight="1" x14ac:dyDescent="0.2">
      <c r="A40" s="206" t="s">
        <v>86</v>
      </c>
      <c r="B40" s="207" t="s">
        <v>54</v>
      </c>
      <c r="C40" s="207"/>
      <c r="D40" s="207"/>
      <c r="E40" s="62">
        <f>(E38+E39)</f>
        <v>13055.555555555555</v>
      </c>
      <c r="G40" s="122"/>
      <c r="H40" s="123"/>
      <c r="J40" s="55"/>
    </row>
    <row r="41" spans="1:10" ht="24.95" customHeight="1" x14ac:dyDescent="0.2">
      <c r="A41" s="206"/>
      <c r="B41" s="207" t="s">
        <v>87</v>
      </c>
      <c r="C41" s="207"/>
      <c r="D41" s="207"/>
      <c r="E41" s="62">
        <f>4183*3</f>
        <v>12549</v>
      </c>
      <c r="F41" s="87"/>
      <c r="G41" s="122"/>
      <c r="H41" s="123"/>
      <c r="J41" s="55"/>
    </row>
    <row r="42" spans="1:10" ht="24.95" customHeight="1" x14ac:dyDescent="0.2">
      <c r="A42" s="206"/>
      <c r="B42" s="207" t="s">
        <v>83</v>
      </c>
      <c r="C42" s="207"/>
      <c r="D42" s="207"/>
      <c r="E42" s="62">
        <v>600</v>
      </c>
      <c r="F42" s="102"/>
      <c r="G42" s="122"/>
      <c r="H42" s="123"/>
      <c r="J42" s="55"/>
    </row>
    <row r="43" spans="1:10" ht="24.95" customHeight="1" x14ac:dyDescent="0.2">
      <c r="A43" s="206"/>
      <c r="B43" s="207" t="s">
        <v>57</v>
      </c>
      <c r="C43" s="207"/>
      <c r="D43" s="207"/>
      <c r="E43" s="62">
        <v>400</v>
      </c>
      <c r="F43" s="102"/>
      <c r="G43" s="122"/>
      <c r="H43" s="123"/>
      <c r="J43" s="55"/>
    </row>
    <row r="44" spans="1:10" ht="24.95" customHeight="1" x14ac:dyDescent="0.2">
      <c r="A44" s="206"/>
      <c r="B44" s="207" t="s">
        <v>20</v>
      </c>
      <c r="C44" s="207"/>
      <c r="D44" s="207"/>
      <c r="E44" s="62">
        <f>SUM(E40:E43)</f>
        <v>26604.555555555555</v>
      </c>
      <c r="G44" s="122"/>
      <c r="H44" s="124"/>
      <c r="J44" s="55"/>
    </row>
    <row r="45" spans="1:10" ht="24.95" customHeight="1" x14ac:dyDescent="0.2">
      <c r="A45" s="206"/>
      <c r="B45" s="207" t="s">
        <v>21</v>
      </c>
      <c r="C45" s="207"/>
      <c r="D45" s="207"/>
      <c r="E45" s="62">
        <f>E44*0.2</f>
        <v>5320.9111111111115</v>
      </c>
      <c r="G45" s="122"/>
      <c r="H45" s="124"/>
      <c r="J45" s="55"/>
    </row>
    <row r="46" spans="1:10" ht="24.95" customHeight="1" x14ac:dyDescent="0.2">
      <c r="A46" s="116" t="s">
        <v>39</v>
      </c>
      <c r="B46" s="202"/>
      <c r="C46" s="202"/>
      <c r="D46" s="202"/>
      <c r="E46" s="65">
        <f>SUM(E44:E45)</f>
        <v>31925.466666666667</v>
      </c>
      <c r="J46" s="55"/>
    </row>
    <row r="47" spans="1:10" ht="24.95" customHeight="1" x14ac:dyDescent="0.2">
      <c r="A47" s="208" t="s">
        <v>103</v>
      </c>
      <c r="B47" s="208"/>
      <c r="C47" s="208"/>
      <c r="D47" s="208"/>
      <c r="E47" s="65">
        <f>E22+E33+E46</f>
        <v>105091.26097777777</v>
      </c>
      <c r="F47" s="69"/>
      <c r="J47" s="55"/>
    </row>
    <row r="48" spans="1:10" x14ac:dyDescent="0.2">
      <c r="A48" s="12"/>
      <c r="G48" s="112"/>
      <c r="H48" s="112"/>
    </row>
    <row r="49" spans="1:12" x14ac:dyDescent="0.2">
      <c r="A49" s="12"/>
      <c r="E49" s="31"/>
      <c r="G49" s="112"/>
      <c r="H49" s="112"/>
    </row>
    <row r="50" spans="1:12" x14ac:dyDescent="0.2">
      <c r="A50" s="12"/>
      <c r="G50" s="112"/>
      <c r="H50" s="112"/>
    </row>
    <row r="51" spans="1:12" x14ac:dyDescent="0.2">
      <c r="A51" s="12"/>
      <c r="G51" s="112"/>
      <c r="H51" s="112"/>
    </row>
    <row r="52" spans="1:12" x14ac:dyDescent="0.2">
      <c r="A52" s="12"/>
      <c r="G52" s="112"/>
      <c r="H52" s="112"/>
    </row>
    <row r="53" spans="1:12" x14ac:dyDescent="0.2">
      <c r="A53" s="12"/>
      <c r="G53" s="112"/>
      <c r="H53" s="112"/>
    </row>
    <row r="54" spans="1:12" x14ac:dyDescent="0.2">
      <c r="A54" s="12"/>
      <c r="B54" s="54"/>
      <c r="D54" s="43"/>
      <c r="G54" s="112"/>
      <c r="H54" s="112"/>
    </row>
    <row r="55" spans="1:12" ht="64.5" customHeight="1" x14ac:dyDescent="0.2">
      <c r="A55" s="60" t="s">
        <v>0</v>
      </c>
      <c r="B55" s="60" t="s">
        <v>1</v>
      </c>
      <c r="C55" s="60" t="s">
        <v>2</v>
      </c>
      <c r="D55" s="44" t="s">
        <v>77</v>
      </c>
      <c r="E55" s="16"/>
      <c r="G55" s="112"/>
      <c r="H55" s="112"/>
    </row>
    <row r="56" spans="1:12" ht="14.25" customHeight="1" x14ac:dyDescent="0.2">
      <c r="A56" s="115" t="s">
        <v>49</v>
      </c>
      <c r="B56" s="60">
        <v>460</v>
      </c>
      <c r="C56" s="61">
        <f>B56/21.6</f>
        <v>21.296296296296294</v>
      </c>
      <c r="D56" s="45">
        <v>320</v>
      </c>
      <c r="E56" s="14"/>
      <c r="G56" s="112"/>
      <c r="H56" s="112"/>
    </row>
    <row r="57" spans="1:12" x14ac:dyDescent="0.2">
      <c r="A57" s="115" t="s">
        <v>50</v>
      </c>
      <c r="B57" s="60">
        <v>380</v>
      </c>
      <c r="C57" s="61">
        <f>B57/21.6</f>
        <v>17.592592592592592</v>
      </c>
      <c r="D57" s="45">
        <v>290</v>
      </c>
      <c r="E57" s="14"/>
      <c r="G57" s="112"/>
      <c r="H57" s="112"/>
    </row>
    <row r="58" spans="1:12" x14ac:dyDescent="0.2">
      <c r="A58" s="115" t="s">
        <v>51</v>
      </c>
      <c r="B58" s="60">
        <v>300</v>
      </c>
      <c r="C58" s="61">
        <f>B58/21.6</f>
        <v>13.888888888888888</v>
      </c>
      <c r="D58" s="45">
        <v>240</v>
      </c>
      <c r="E58" s="14"/>
      <c r="G58" s="112"/>
      <c r="H58" s="112"/>
    </row>
    <row r="59" spans="1:12" x14ac:dyDescent="0.2">
      <c r="A59" s="115" t="s">
        <v>52</v>
      </c>
      <c r="B59" s="60">
        <v>230</v>
      </c>
      <c r="C59" s="61">
        <f>B59/21.6</f>
        <v>10.648148148148147</v>
      </c>
      <c r="D59" s="45">
        <v>170</v>
      </c>
      <c r="E59" s="14"/>
      <c r="G59" s="112"/>
      <c r="H59" s="112"/>
    </row>
    <row r="60" spans="1:12" s="105" customFormat="1" x14ac:dyDescent="0.2">
      <c r="A60" s="39"/>
      <c r="B60" s="16"/>
      <c r="C60" s="16"/>
      <c r="D60" s="44"/>
      <c r="E60" s="16"/>
      <c r="F60" s="55"/>
      <c r="G60" s="112"/>
      <c r="H60" s="112"/>
      <c r="J60" s="18"/>
      <c r="K60" s="1"/>
      <c r="L60" s="1"/>
    </row>
    <row r="61" spans="1:12" s="105" customFormat="1" x14ac:dyDescent="0.2">
      <c r="A61" s="18"/>
      <c r="B61" s="12"/>
      <c r="C61" s="12"/>
      <c r="D61" s="12"/>
      <c r="E61" s="12"/>
      <c r="F61" s="55"/>
      <c r="G61" s="112"/>
      <c r="H61" s="112"/>
      <c r="J61" s="18"/>
      <c r="K61" s="1"/>
      <c r="L61" s="1"/>
    </row>
    <row r="62" spans="1:12" s="105" customFormat="1" x14ac:dyDescent="0.2">
      <c r="A62" s="18"/>
      <c r="B62" s="12"/>
      <c r="C62" s="12"/>
      <c r="D62" s="12"/>
      <c r="E62" s="12"/>
      <c r="F62" s="55"/>
      <c r="G62" s="112"/>
      <c r="H62" s="112"/>
      <c r="J62" s="18"/>
      <c r="K62" s="1"/>
      <c r="L62" s="1"/>
    </row>
    <row r="63" spans="1:12" s="105" customFormat="1" x14ac:dyDescent="0.2">
      <c r="A63" s="55"/>
      <c r="B63" s="54"/>
      <c r="C63" s="54"/>
      <c r="D63" s="54"/>
      <c r="E63" s="12"/>
      <c r="F63" s="55"/>
      <c r="J63" s="18"/>
      <c r="K63" s="1"/>
      <c r="L63" s="1"/>
    </row>
    <row r="64" spans="1:12" s="105" customFormat="1" x14ac:dyDescent="0.2">
      <c r="A64" s="55"/>
      <c r="B64" s="54"/>
      <c r="C64" s="54"/>
      <c r="D64" s="54"/>
      <c r="E64" s="12"/>
      <c r="F64" s="55"/>
      <c r="J64" s="18"/>
      <c r="K64" s="1"/>
      <c r="L64" s="1"/>
    </row>
    <row r="65" spans="1:12" s="105" customFormat="1" x14ac:dyDescent="0.2">
      <c r="A65" s="55"/>
      <c r="B65" s="54"/>
      <c r="C65" s="54"/>
      <c r="D65" s="54"/>
      <c r="E65" s="12"/>
      <c r="F65" s="55"/>
      <c r="J65" s="18"/>
      <c r="K65" s="1"/>
      <c r="L65" s="1"/>
    </row>
    <row r="66" spans="1:12" s="105" customFormat="1" x14ac:dyDescent="0.2">
      <c r="A66" s="55"/>
      <c r="B66" s="54"/>
      <c r="C66" s="54"/>
      <c r="D66" s="54"/>
      <c r="E66" s="12"/>
      <c r="F66" s="55"/>
      <c r="J66" s="18"/>
      <c r="K66" s="1"/>
      <c r="L66" s="1"/>
    </row>
    <row r="67" spans="1:12" s="105" customFormat="1" x14ac:dyDescent="0.2">
      <c r="A67" s="55"/>
      <c r="B67" s="54"/>
      <c r="C67" s="54"/>
      <c r="D67" s="54"/>
      <c r="E67" s="12"/>
      <c r="F67" s="55"/>
      <c r="J67" s="18"/>
      <c r="K67" s="1"/>
      <c r="L67" s="1"/>
    </row>
    <row r="68" spans="1:12" s="105" customFormat="1" x14ac:dyDescent="0.2">
      <c r="A68" s="55"/>
      <c r="B68" s="54"/>
      <c r="C68" s="54"/>
      <c r="D68" s="54"/>
      <c r="E68" s="12"/>
      <c r="F68" s="55"/>
      <c r="J68" s="18"/>
      <c r="K68" s="1"/>
      <c r="L68" s="1"/>
    </row>
    <row r="69" spans="1:12" s="105" customFormat="1" x14ac:dyDescent="0.2">
      <c r="A69" s="55"/>
      <c r="B69" s="54"/>
      <c r="C69" s="54"/>
      <c r="D69" s="54"/>
      <c r="E69" s="12"/>
      <c r="F69" s="55"/>
      <c r="J69" s="18"/>
      <c r="K69" s="1"/>
      <c r="L69" s="1"/>
    </row>
    <row r="70" spans="1:12" s="105" customFormat="1" x14ac:dyDescent="0.2">
      <c r="A70" s="55"/>
      <c r="B70" s="54"/>
      <c r="C70" s="54"/>
      <c r="D70" s="54"/>
      <c r="E70" s="12"/>
      <c r="F70" s="55"/>
      <c r="J70" s="18"/>
      <c r="K70" s="1"/>
      <c r="L70" s="1"/>
    </row>
    <row r="71" spans="1:12" s="105" customFormat="1" x14ac:dyDescent="0.2">
      <c r="A71" s="55"/>
      <c r="B71" s="54"/>
      <c r="C71" s="54"/>
      <c r="D71" s="54"/>
      <c r="E71" s="12"/>
      <c r="F71" s="55"/>
      <c r="J71" s="18"/>
      <c r="K71" s="1"/>
      <c r="L71" s="1"/>
    </row>
    <row r="72" spans="1:12" s="105" customFormat="1" x14ac:dyDescent="0.2">
      <c r="A72" s="55"/>
      <c r="B72" s="54"/>
      <c r="C72" s="54"/>
      <c r="D72" s="54"/>
      <c r="E72" s="12"/>
      <c r="F72" s="55"/>
      <c r="J72" s="18"/>
      <c r="K72" s="1"/>
      <c r="L72" s="1"/>
    </row>
    <row r="73" spans="1:12" s="105" customFormat="1" x14ac:dyDescent="0.2">
      <c r="A73" s="55"/>
      <c r="B73" s="54"/>
      <c r="C73" s="54"/>
      <c r="D73" s="54"/>
      <c r="E73" s="12"/>
      <c r="F73" s="55"/>
      <c r="J73" s="18"/>
      <c r="K73" s="1"/>
      <c r="L73" s="1"/>
    </row>
    <row r="74" spans="1:12" s="105" customFormat="1" x14ac:dyDescent="0.2">
      <c r="A74" s="55"/>
      <c r="B74" s="54"/>
      <c r="C74" s="54"/>
      <c r="D74" s="54"/>
      <c r="E74" s="12"/>
      <c r="F74" s="55"/>
      <c r="J74" s="18"/>
      <c r="K74" s="1"/>
      <c r="L74" s="1"/>
    </row>
    <row r="75" spans="1:12" s="105" customFormat="1" x14ac:dyDescent="0.2">
      <c r="A75" s="55"/>
      <c r="B75" s="54"/>
      <c r="C75" s="54"/>
      <c r="D75" s="54"/>
      <c r="E75" s="12"/>
      <c r="F75" s="55"/>
      <c r="J75" s="18"/>
      <c r="K75" s="1"/>
      <c r="L75" s="1"/>
    </row>
    <row r="76" spans="1:12" s="12" customFormat="1" x14ac:dyDescent="0.2">
      <c r="A76" s="55"/>
      <c r="B76" s="54"/>
      <c r="C76" s="54"/>
      <c r="D76" s="54"/>
      <c r="F76" s="55"/>
      <c r="G76" s="105"/>
      <c r="H76" s="105"/>
      <c r="I76" s="105"/>
      <c r="J76" s="18"/>
      <c r="K76" s="1"/>
      <c r="L76" s="1"/>
    </row>
    <row r="77" spans="1:12" s="12" customFormat="1" x14ac:dyDescent="0.2">
      <c r="A77" s="55"/>
      <c r="B77" s="54"/>
      <c r="C77" s="54"/>
      <c r="D77" s="54"/>
      <c r="F77" s="55"/>
      <c r="G77" s="105"/>
      <c r="H77" s="105"/>
      <c r="I77" s="105"/>
      <c r="J77" s="18"/>
      <c r="K77" s="1"/>
      <c r="L77" s="1"/>
    </row>
    <row r="78" spans="1:12" s="12" customFormat="1" x14ac:dyDescent="0.2">
      <c r="A78" s="55"/>
      <c r="B78" s="54"/>
      <c r="C78" s="54"/>
      <c r="D78" s="54"/>
      <c r="F78" s="55"/>
      <c r="G78" s="105"/>
      <c r="H78" s="105"/>
      <c r="I78" s="105"/>
      <c r="J78" s="18"/>
      <c r="K78" s="1"/>
      <c r="L78" s="1"/>
    </row>
    <row r="79" spans="1:12" s="12" customFormat="1" x14ac:dyDescent="0.2">
      <c r="A79" s="55"/>
      <c r="B79" s="54"/>
      <c r="C79" s="54"/>
      <c r="D79" s="54"/>
      <c r="F79" s="55"/>
      <c r="G79" s="105"/>
      <c r="H79" s="105"/>
      <c r="I79" s="105"/>
      <c r="J79" s="18"/>
      <c r="K79" s="1"/>
      <c r="L79" s="1"/>
    </row>
    <row r="80" spans="1:12" s="12" customFormat="1" x14ac:dyDescent="0.2">
      <c r="A80" s="55"/>
      <c r="B80" s="54"/>
      <c r="C80" s="54"/>
      <c r="D80" s="54"/>
      <c r="F80" s="55"/>
      <c r="G80" s="105"/>
      <c r="H80" s="105"/>
      <c r="I80" s="105"/>
      <c r="J80" s="18"/>
      <c r="K80" s="1"/>
      <c r="L80" s="1"/>
    </row>
  </sheetData>
  <mergeCells count="27">
    <mergeCell ref="A1:F1"/>
    <mergeCell ref="A2:E2"/>
    <mergeCell ref="A16:A21"/>
    <mergeCell ref="B16:D16"/>
    <mergeCell ref="B17:D17"/>
    <mergeCell ref="B18:D18"/>
    <mergeCell ref="B19:D19"/>
    <mergeCell ref="B20:D20"/>
    <mergeCell ref="B21:D21"/>
    <mergeCell ref="B22:D22"/>
    <mergeCell ref="A24:E24"/>
    <mergeCell ref="A29:A32"/>
    <mergeCell ref="B29:D29"/>
    <mergeCell ref="B30:D30"/>
    <mergeCell ref="B31:D31"/>
    <mergeCell ref="B32:D32"/>
    <mergeCell ref="B46:D46"/>
    <mergeCell ref="A47:D47"/>
    <mergeCell ref="B33:D33"/>
    <mergeCell ref="A36:E36"/>
    <mergeCell ref="A40:A45"/>
    <mergeCell ref="B40:D40"/>
    <mergeCell ref="B41:D41"/>
    <mergeCell ref="B42:D42"/>
    <mergeCell ref="B43:D43"/>
    <mergeCell ref="B44:D44"/>
    <mergeCell ref="B45:D45"/>
  </mergeCells>
  <pageMargins left="0" right="0" top="0" bottom="0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69"/>
  <sheetViews>
    <sheetView topLeftCell="A7" workbookViewId="0">
      <selection activeCell="G52" sqref="G52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42" bestFit="1" customWidth="1"/>
    <col min="7" max="7" width="21.140625" style="105" customWidth="1"/>
    <col min="8" max="8" width="13.85546875" style="105" customWidth="1"/>
    <col min="9" max="9" width="9.140625" style="105"/>
    <col min="10" max="10" width="9.140625" style="18"/>
    <col min="11" max="16384" width="9.140625" style="1"/>
  </cols>
  <sheetData>
    <row r="1" spans="1:12" x14ac:dyDescent="0.2">
      <c r="A1" s="201" t="s">
        <v>104</v>
      </c>
      <c r="B1" s="201"/>
      <c r="C1" s="201"/>
      <c r="D1" s="201"/>
      <c r="E1" s="201"/>
      <c r="F1" s="201"/>
    </row>
    <row r="2" spans="1:12" ht="20.100000000000001" customHeight="1" x14ac:dyDescent="0.2">
      <c r="A2" s="205" t="s">
        <v>8</v>
      </c>
      <c r="B2" s="205"/>
      <c r="C2" s="205"/>
      <c r="D2" s="205"/>
      <c r="E2" s="205"/>
    </row>
    <row r="3" spans="1:12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12" ht="30" customHeight="1" x14ac:dyDescent="0.2">
      <c r="A4" s="57" t="s">
        <v>85</v>
      </c>
      <c r="B4" s="58"/>
      <c r="C4" s="58"/>
      <c r="D4" s="58"/>
      <c r="E4" s="58"/>
      <c r="G4" s="112"/>
      <c r="H4" s="112"/>
      <c r="I4" s="112"/>
      <c r="J4" s="55"/>
      <c r="K4" s="113"/>
      <c r="L4" s="113"/>
    </row>
    <row r="5" spans="1:12" ht="19.899999999999999" customHeight="1" x14ac:dyDescent="0.2">
      <c r="A5" s="59" t="s">
        <v>49</v>
      </c>
      <c r="B5" s="146" t="s">
        <v>17</v>
      </c>
      <c r="C5" s="60">
        <v>240</v>
      </c>
      <c r="D5" s="61">
        <f>$C$45</f>
        <v>23.148148148148145</v>
      </c>
      <c r="E5" s="62">
        <f>C5*D5</f>
        <v>5555.5555555555547</v>
      </c>
      <c r="F5" s="117"/>
      <c r="G5" s="112"/>
      <c r="H5" s="112"/>
      <c r="I5" s="112"/>
      <c r="J5" s="55"/>
      <c r="K5" s="113"/>
      <c r="L5" s="113"/>
    </row>
    <row r="6" spans="1:12" ht="19.899999999999999" customHeight="1" x14ac:dyDescent="0.2">
      <c r="A6" s="59" t="s">
        <v>50</v>
      </c>
      <c r="B6" s="146" t="s">
        <v>17</v>
      </c>
      <c r="C6" s="60">
        <v>80</v>
      </c>
      <c r="D6" s="61">
        <f>$C$46</f>
        <v>17.592592592592592</v>
      </c>
      <c r="E6" s="62">
        <f>C6*D6</f>
        <v>1407.4074074074074</v>
      </c>
      <c r="F6" s="118"/>
      <c r="G6" s="112"/>
      <c r="H6" s="112"/>
      <c r="I6" s="112"/>
      <c r="J6" s="55"/>
      <c r="K6" s="113"/>
      <c r="L6" s="113"/>
    </row>
    <row r="7" spans="1:12" ht="30" customHeight="1" x14ac:dyDescent="0.2">
      <c r="A7" s="57" t="s">
        <v>15</v>
      </c>
      <c r="B7" s="146"/>
      <c r="C7" s="60"/>
      <c r="D7" s="61"/>
      <c r="E7" s="62"/>
      <c r="G7" s="112"/>
      <c r="H7" s="112"/>
      <c r="I7" s="112"/>
      <c r="J7" s="55"/>
      <c r="K7" s="113"/>
      <c r="L7" s="113"/>
    </row>
    <row r="8" spans="1:12" ht="19.899999999999999" customHeight="1" x14ac:dyDescent="0.2">
      <c r="A8" s="59" t="s">
        <v>49</v>
      </c>
      <c r="B8" s="146" t="s">
        <v>17</v>
      </c>
      <c r="C8" s="60">
        <v>350</v>
      </c>
      <c r="D8" s="61">
        <f>$C$45</f>
        <v>23.148148148148145</v>
      </c>
      <c r="E8" s="62">
        <f>C8*D8</f>
        <v>8101.8518518518513</v>
      </c>
      <c r="G8" s="112"/>
      <c r="H8" s="112"/>
      <c r="I8" s="112"/>
      <c r="J8" s="55"/>
      <c r="K8" s="113"/>
      <c r="L8" s="113"/>
    </row>
    <row r="9" spans="1:12" ht="19.899999999999999" customHeight="1" x14ac:dyDescent="0.2">
      <c r="A9" s="59" t="s">
        <v>50</v>
      </c>
      <c r="B9" s="146" t="s">
        <v>17</v>
      </c>
      <c r="C9" s="60">
        <v>180</v>
      </c>
      <c r="D9" s="61">
        <f>$C$46</f>
        <v>17.592592592592592</v>
      </c>
      <c r="E9" s="62">
        <f>C9*D9</f>
        <v>3166.6666666666665</v>
      </c>
      <c r="F9" s="118"/>
      <c r="G9" s="112"/>
      <c r="H9" s="112"/>
      <c r="I9" s="112"/>
      <c r="J9" s="55"/>
      <c r="K9" s="113"/>
      <c r="L9" s="113"/>
    </row>
    <row r="10" spans="1:12" ht="50.1" customHeight="1" x14ac:dyDescent="0.2">
      <c r="A10" s="57" t="s">
        <v>16</v>
      </c>
      <c r="B10" s="146"/>
      <c r="C10" s="60"/>
      <c r="D10" s="61"/>
      <c r="E10" s="62"/>
      <c r="G10" s="112"/>
      <c r="H10" s="112"/>
      <c r="I10" s="112"/>
      <c r="J10" s="55"/>
      <c r="K10" s="113"/>
      <c r="L10" s="113"/>
    </row>
    <row r="11" spans="1:12" ht="19.899999999999999" customHeight="1" x14ac:dyDescent="0.2">
      <c r="A11" s="59" t="s">
        <v>49</v>
      </c>
      <c r="B11" s="146" t="s">
        <v>17</v>
      </c>
      <c r="C11" s="60">
        <v>275</v>
      </c>
      <c r="D11" s="61">
        <f>$C$45</f>
        <v>23.148148148148145</v>
      </c>
      <c r="E11" s="62">
        <f>C11*D11</f>
        <v>6365.74074074074</v>
      </c>
      <c r="G11" s="112"/>
      <c r="H11" s="112"/>
      <c r="I11" s="112"/>
      <c r="J11" s="55"/>
      <c r="K11" s="113"/>
      <c r="L11" s="113"/>
    </row>
    <row r="12" spans="1:12" ht="19.899999999999999" customHeight="1" x14ac:dyDescent="0.2">
      <c r="A12" s="59" t="s">
        <v>50</v>
      </c>
      <c r="B12" s="146" t="s">
        <v>17</v>
      </c>
      <c r="C12" s="60">
        <v>275</v>
      </c>
      <c r="D12" s="61">
        <f>$C$46</f>
        <v>17.592592592592592</v>
      </c>
      <c r="E12" s="62">
        <f>C12*D12</f>
        <v>4837.9629629629626</v>
      </c>
      <c r="F12" s="118"/>
      <c r="G12" s="112"/>
      <c r="H12" s="112"/>
      <c r="I12" s="112"/>
      <c r="J12" s="55"/>
      <c r="K12" s="113"/>
      <c r="L12" s="113"/>
    </row>
    <row r="13" spans="1:12" ht="61.15" customHeight="1" x14ac:dyDescent="0.2">
      <c r="A13" s="139" t="s">
        <v>107</v>
      </c>
      <c r="B13" s="140"/>
      <c r="C13" s="141"/>
      <c r="D13" s="142"/>
      <c r="E13" s="143"/>
      <c r="G13" s="112"/>
      <c r="H13" s="112"/>
      <c r="I13" s="112"/>
      <c r="J13" s="55"/>
      <c r="K13" s="113"/>
      <c r="L13" s="113"/>
    </row>
    <row r="14" spans="1:12" ht="19.899999999999999" customHeight="1" x14ac:dyDescent="0.2">
      <c r="A14" s="144" t="s">
        <v>49</v>
      </c>
      <c r="B14" s="140" t="s">
        <v>17</v>
      </c>
      <c r="C14" s="141">
        <v>250</v>
      </c>
      <c r="D14" s="142">
        <f>$C$45</f>
        <v>23.148148148148145</v>
      </c>
      <c r="E14" s="143">
        <f>C14*D14</f>
        <v>5787.0370370370365</v>
      </c>
      <c r="G14" s="112"/>
      <c r="H14" s="102">
        <f>E14+'Overhead-NRSC'!G25</f>
        <v>5787.0370370370365</v>
      </c>
      <c r="I14" s="112"/>
      <c r="J14" s="55"/>
      <c r="K14" s="113"/>
      <c r="L14" s="113"/>
    </row>
    <row r="15" spans="1:12" ht="19.899999999999999" customHeight="1" x14ac:dyDescent="0.2">
      <c r="A15" s="144" t="s">
        <v>50</v>
      </c>
      <c r="B15" s="140" t="s">
        <v>17</v>
      </c>
      <c r="C15" s="141">
        <v>0</v>
      </c>
      <c r="D15" s="142">
        <f>$C$46</f>
        <v>17.592592592592592</v>
      </c>
      <c r="E15" s="143">
        <f>C15*D15</f>
        <v>0</v>
      </c>
      <c r="F15" s="118"/>
      <c r="G15" s="112"/>
      <c r="H15" s="112"/>
      <c r="I15" s="112"/>
      <c r="J15" s="55"/>
      <c r="K15" s="113"/>
      <c r="L15" s="113"/>
    </row>
    <row r="16" spans="1:12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35222.222222222219</v>
      </c>
      <c r="G16" s="112"/>
      <c r="H16" s="112"/>
      <c r="I16" s="112"/>
      <c r="J16" s="55"/>
      <c r="K16" s="113"/>
      <c r="L16" s="113"/>
    </row>
    <row r="17" spans="1:12" ht="24.95" customHeight="1" x14ac:dyDescent="0.2">
      <c r="A17" s="206"/>
      <c r="B17" s="207" t="s">
        <v>87</v>
      </c>
      <c r="C17" s="207"/>
      <c r="D17" s="207"/>
      <c r="E17" s="62">
        <f>H19*H22</f>
        <v>16537.477780657904</v>
      </c>
      <c r="F17" s="117"/>
      <c r="G17" s="112"/>
      <c r="H17" s="112"/>
      <c r="I17" s="112"/>
      <c r="J17" s="55"/>
      <c r="K17" s="113"/>
      <c r="L17" s="113"/>
    </row>
    <row r="18" spans="1:12" ht="24.95" customHeight="1" x14ac:dyDescent="0.2">
      <c r="A18" s="206"/>
      <c r="B18" s="207" t="s">
        <v>83</v>
      </c>
      <c r="C18" s="207"/>
      <c r="D18" s="207"/>
      <c r="E18" s="62">
        <v>800</v>
      </c>
      <c r="G18" s="121"/>
      <c r="H18" s="112"/>
      <c r="I18" s="112"/>
      <c r="J18" s="55"/>
      <c r="K18" s="113"/>
      <c r="L18" s="113"/>
    </row>
    <row r="19" spans="1:12" ht="24.95" customHeight="1" x14ac:dyDescent="0.2">
      <c r="A19" s="206"/>
      <c r="B19" s="207" t="s">
        <v>57</v>
      </c>
      <c r="C19" s="207"/>
      <c r="D19" s="207"/>
      <c r="E19" s="62">
        <v>600</v>
      </c>
      <c r="G19" s="122" t="s">
        <v>94</v>
      </c>
      <c r="H19" s="123">
        <f>'Overhead-NRSC'!E27</f>
        <v>21132.236000000001</v>
      </c>
      <c r="I19" s="112"/>
      <c r="J19" s="55"/>
      <c r="K19" s="113"/>
      <c r="L19" s="113"/>
    </row>
    <row r="20" spans="1:12" ht="24.95" customHeight="1" x14ac:dyDescent="0.2">
      <c r="A20" s="206"/>
      <c r="B20" s="207" t="s">
        <v>20</v>
      </c>
      <c r="C20" s="207"/>
      <c r="D20" s="207"/>
      <c r="E20" s="62">
        <f>SUM(E16:E17)+E18+E19</f>
        <v>53159.700002880127</v>
      </c>
      <c r="G20" s="122" t="s">
        <v>18</v>
      </c>
      <c r="H20" s="123">
        <f>E16</f>
        <v>35222.222222222219</v>
      </c>
      <c r="I20" s="112"/>
      <c r="J20" s="55"/>
      <c r="K20" s="113"/>
      <c r="L20" s="113"/>
    </row>
    <row r="21" spans="1:12" ht="24.95" customHeight="1" x14ac:dyDescent="0.2">
      <c r="A21" s="206"/>
      <c r="B21" s="207" t="s">
        <v>21</v>
      </c>
      <c r="C21" s="207"/>
      <c r="D21" s="207"/>
      <c r="E21" s="62">
        <f>E20*0.2</f>
        <v>10631.940000576025</v>
      </c>
      <c r="F21" s="118"/>
      <c r="G21" s="122" t="s">
        <v>91</v>
      </c>
      <c r="H21" s="123">
        <f>E16+E29</f>
        <v>45008.333333333328</v>
      </c>
      <c r="I21" s="112"/>
      <c r="J21" s="55"/>
      <c r="K21" s="113"/>
      <c r="L21" s="113"/>
    </row>
    <row r="22" spans="1:12" ht="24.95" customHeight="1" x14ac:dyDescent="0.2">
      <c r="A22" s="148" t="s">
        <v>22</v>
      </c>
      <c r="B22" s="202"/>
      <c r="C22" s="202"/>
      <c r="D22" s="202"/>
      <c r="E22" s="65">
        <f>SUM(E20:E21)</f>
        <v>63791.640003456152</v>
      </c>
      <c r="G22" s="122" t="s">
        <v>92</v>
      </c>
      <c r="H22" s="124">
        <f>H20/H21</f>
        <v>0.78257112880330804</v>
      </c>
      <c r="I22" s="112"/>
      <c r="J22" s="55"/>
      <c r="K22" s="113"/>
      <c r="L22" s="113"/>
    </row>
    <row r="23" spans="1:12" ht="24.95" customHeight="1" x14ac:dyDescent="0.2">
      <c r="A23" s="33"/>
      <c r="B23" s="34"/>
      <c r="C23" s="34"/>
      <c r="D23" s="34"/>
      <c r="E23" s="35"/>
      <c r="G23" s="112"/>
      <c r="H23" s="112"/>
      <c r="I23" s="112"/>
      <c r="J23" s="55"/>
      <c r="K23" s="113"/>
      <c r="L23" s="113"/>
    </row>
    <row r="24" spans="1:12" ht="24" customHeight="1" x14ac:dyDescent="0.2">
      <c r="A24" s="205" t="s">
        <v>102</v>
      </c>
      <c r="B24" s="205"/>
      <c r="C24" s="205"/>
      <c r="D24" s="205"/>
      <c r="E24" s="205"/>
      <c r="G24" s="112"/>
      <c r="H24" s="112"/>
      <c r="I24" s="112"/>
      <c r="J24" s="55"/>
      <c r="K24" s="113"/>
      <c r="L24" s="113"/>
    </row>
    <row r="25" spans="1:12" ht="24.95" customHeight="1" x14ac:dyDescent="0.2">
      <c r="A25" s="146" t="s">
        <v>9</v>
      </c>
      <c r="B25" s="146" t="s">
        <v>10</v>
      </c>
      <c r="C25" s="146" t="s">
        <v>11</v>
      </c>
      <c r="D25" s="146" t="s">
        <v>12</v>
      </c>
      <c r="E25" s="146" t="s">
        <v>13</v>
      </c>
      <c r="G25" s="112"/>
      <c r="H25" s="112"/>
      <c r="I25" s="112"/>
      <c r="J25" s="55"/>
      <c r="K25" s="113"/>
      <c r="L25" s="113"/>
    </row>
    <row r="26" spans="1:12" ht="24.95" customHeight="1" x14ac:dyDescent="0.2">
      <c r="A26" s="147" t="s">
        <v>23</v>
      </c>
      <c r="B26" s="146" t="s">
        <v>17</v>
      </c>
      <c r="C26" s="60">
        <v>252</v>
      </c>
      <c r="D26" s="61">
        <f>C48</f>
        <v>10.648148148148147</v>
      </c>
      <c r="E26" s="62">
        <f>C26*D26</f>
        <v>2683.333333333333</v>
      </c>
      <c r="G26" s="112"/>
      <c r="H26" s="112"/>
      <c r="I26" s="112"/>
      <c r="J26" s="55"/>
      <c r="K26" s="113"/>
      <c r="L26" s="113"/>
    </row>
    <row r="27" spans="1:12" ht="24.95" customHeight="1" x14ac:dyDescent="0.2">
      <c r="A27" s="147" t="s">
        <v>24</v>
      </c>
      <c r="B27" s="146" t="s">
        <v>17</v>
      </c>
      <c r="C27" s="60">
        <v>25</v>
      </c>
      <c r="D27" s="61">
        <f>C45</f>
        <v>23.148148148148145</v>
      </c>
      <c r="E27" s="62">
        <f>C27*D27</f>
        <v>578.70370370370358</v>
      </c>
      <c r="F27" s="118"/>
      <c r="G27" s="112"/>
      <c r="H27" s="112"/>
      <c r="I27" s="112"/>
      <c r="J27" s="55"/>
      <c r="K27" s="113"/>
      <c r="L27" s="113"/>
    </row>
    <row r="28" spans="1:12" ht="24.95" customHeight="1" x14ac:dyDescent="0.2">
      <c r="A28" s="147" t="s">
        <v>25</v>
      </c>
      <c r="B28" s="146"/>
      <c r="C28" s="68"/>
      <c r="D28" s="68"/>
      <c r="E28" s="62">
        <f>SUM(E26:E27)</f>
        <v>3262.0370370370365</v>
      </c>
      <c r="G28" s="112"/>
      <c r="H28" s="112"/>
      <c r="I28" s="112"/>
      <c r="J28" s="55"/>
      <c r="K28" s="113"/>
      <c r="L28" s="113"/>
    </row>
    <row r="29" spans="1:12" ht="24.95" customHeight="1" x14ac:dyDescent="0.2">
      <c r="A29" s="206" t="s">
        <v>86</v>
      </c>
      <c r="B29" s="207" t="s">
        <v>79</v>
      </c>
      <c r="C29" s="207"/>
      <c r="D29" s="207"/>
      <c r="E29" s="62">
        <f>3*(E26+E27)</f>
        <v>9786.1111111111095</v>
      </c>
      <c r="G29" s="112"/>
      <c r="H29" s="112"/>
      <c r="I29" s="112"/>
      <c r="J29" s="55"/>
      <c r="K29" s="113"/>
      <c r="L29" s="113"/>
    </row>
    <row r="30" spans="1:12" ht="24.95" customHeight="1" x14ac:dyDescent="0.2">
      <c r="A30" s="206"/>
      <c r="B30" s="207" t="s">
        <v>87</v>
      </c>
      <c r="C30" s="207"/>
      <c r="D30" s="207"/>
      <c r="E30" s="62">
        <f>H30*H33</f>
        <v>4594.7582193420976</v>
      </c>
      <c r="F30" s="119"/>
      <c r="G30" s="122" t="s">
        <v>94</v>
      </c>
      <c r="H30" s="123">
        <f>'Overhead-NRSC'!E27</f>
        <v>21132.236000000001</v>
      </c>
      <c r="I30" s="112"/>
      <c r="J30" s="55"/>
      <c r="K30" s="113"/>
      <c r="L30" s="113"/>
    </row>
    <row r="31" spans="1:12" ht="24.95" customHeight="1" x14ac:dyDescent="0.2">
      <c r="A31" s="206"/>
      <c r="B31" s="207" t="s">
        <v>20</v>
      </c>
      <c r="C31" s="207"/>
      <c r="D31" s="207"/>
      <c r="E31" s="62">
        <f>SUM(E29:E30)</f>
        <v>14380.869330453206</v>
      </c>
      <c r="G31" s="122" t="s">
        <v>18</v>
      </c>
      <c r="H31" s="123">
        <f>E29</f>
        <v>9786.1111111111095</v>
      </c>
      <c r="I31" s="112"/>
      <c r="J31" s="55"/>
      <c r="K31" s="113"/>
      <c r="L31" s="113"/>
    </row>
    <row r="32" spans="1:12" ht="24.95" customHeight="1" x14ac:dyDescent="0.2">
      <c r="A32" s="206"/>
      <c r="B32" s="207" t="s">
        <v>21</v>
      </c>
      <c r="C32" s="207"/>
      <c r="D32" s="207"/>
      <c r="E32" s="62">
        <f>E31*0.2</f>
        <v>2876.1738660906412</v>
      </c>
      <c r="G32" s="122" t="s">
        <v>91</v>
      </c>
      <c r="H32" s="123">
        <f>H21</f>
        <v>45008.333333333328</v>
      </c>
      <c r="I32" s="112"/>
      <c r="J32" s="55"/>
      <c r="K32" s="113"/>
      <c r="L32" s="113"/>
    </row>
    <row r="33" spans="1:12" ht="24.95" customHeight="1" x14ac:dyDescent="0.2">
      <c r="A33" s="148" t="s">
        <v>26</v>
      </c>
      <c r="B33" s="202"/>
      <c r="C33" s="202"/>
      <c r="D33" s="202"/>
      <c r="E33" s="65">
        <f>SUM(E31:E32)</f>
        <v>17257.043196543847</v>
      </c>
      <c r="G33" s="122" t="s">
        <v>92</v>
      </c>
      <c r="H33" s="124">
        <f>H31/H32</f>
        <v>0.21742887119669196</v>
      </c>
      <c r="I33" s="112"/>
      <c r="J33" s="55"/>
      <c r="K33" s="113"/>
      <c r="L33" s="113"/>
    </row>
    <row r="34" spans="1:12" ht="24.95" customHeight="1" x14ac:dyDescent="0.2">
      <c r="A34" s="208" t="s">
        <v>103</v>
      </c>
      <c r="B34" s="208"/>
      <c r="C34" s="208"/>
      <c r="D34" s="208"/>
      <c r="E34" s="65">
        <f>E22+E33</f>
        <v>81048.683199999999</v>
      </c>
      <c r="F34" s="120"/>
      <c r="G34" s="122" t="s">
        <v>92</v>
      </c>
      <c r="H34" s="124">
        <f>H31/H32</f>
        <v>0.21742887119669196</v>
      </c>
      <c r="I34" s="112"/>
      <c r="J34" s="55"/>
      <c r="K34" s="113"/>
      <c r="L34" s="113"/>
    </row>
    <row r="35" spans="1:12" x14ac:dyDescent="0.2">
      <c r="A35" s="12"/>
      <c r="E35" s="111">
        <f>E34/'2022_new'!E57</f>
        <v>0.68436828893021051</v>
      </c>
      <c r="G35" s="112"/>
      <c r="H35" s="112"/>
      <c r="I35" s="112"/>
      <c r="J35" s="55"/>
      <c r="K35" s="113"/>
      <c r="L35" s="113"/>
    </row>
    <row r="36" spans="1:12" x14ac:dyDescent="0.2">
      <c r="A36" s="12"/>
      <c r="E36" s="125">
        <f>E34/'2024_NRSC'!E34</f>
        <v>1.088612675863478</v>
      </c>
      <c r="G36" s="112"/>
      <c r="H36" s="112"/>
      <c r="I36" s="112"/>
      <c r="J36" s="55"/>
      <c r="K36" s="113"/>
      <c r="L36" s="113"/>
    </row>
    <row r="37" spans="1:12" x14ac:dyDescent="0.2">
      <c r="A37" s="12"/>
      <c r="G37" s="112"/>
      <c r="H37" s="112"/>
      <c r="I37" s="112"/>
      <c r="J37" s="55"/>
      <c r="K37" s="113"/>
      <c r="L37" s="113"/>
    </row>
    <row r="38" spans="1:12" x14ac:dyDescent="0.2">
      <c r="A38" s="12"/>
      <c r="E38" s="31"/>
      <c r="G38" s="112"/>
      <c r="H38" s="112"/>
      <c r="I38" s="112"/>
      <c r="J38" s="55"/>
      <c r="K38" s="113"/>
      <c r="L38" s="113"/>
    </row>
    <row r="39" spans="1:12" x14ac:dyDescent="0.2">
      <c r="A39" s="12"/>
      <c r="G39" s="112"/>
      <c r="H39" s="112"/>
      <c r="I39" s="112"/>
      <c r="J39" s="55"/>
      <c r="K39" s="113"/>
      <c r="L39" s="113"/>
    </row>
    <row r="40" spans="1:12" x14ac:dyDescent="0.2">
      <c r="A40" s="12"/>
      <c r="G40" s="112"/>
      <c r="H40" s="112"/>
      <c r="I40" s="112"/>
      <c r="J40" s="55"/>
      <c r="K40" s="113"/>
      <c r="L40" s="113"/>
    </row>
    <row r="41" spans="1:12" x14ac:dyDescent="0.2">
      <c r="A41" s="12"/>
      <c r="G41" s="112"/>
      <c r="H41" s="112"/>
      <c r="I41" s="112"/>
      <c r="J41" s="55"/>
      <c r="K41" s="113"/>
      <c r="L41" s="113"/>
    </row>
    <row r="42" spans="1:12" x14ac:dyDescent="0.2">
      <c r="A42" s="12"/>
      <c r="G42" s="112"/>
      <c r="H42" s="112"/>
      <c r="I42" s="112"/>
      <c r="J42" s="55"/>
      <c r="K42" s="113"/>
      <c r="L42" s="113"/>
    </row>
    <row r="43" spans="1:12" x14ac:dyDescent="0.2">
      <c r="A43" s="12"/>
      <c r="B43" s="54"/>
      <c r="D43" s="43"/>
      <c r="G43" s="112"/>
      <c r="H43" s="112"/>
      <c r="I43" s="112"/>
      <c r="J43" s="55"/>
      <c r="K43" s="113"/>
      <c r="L43" s="113"/>
    </row>
    <row r="44" spans="1:12" ht="64.5" customHeight="1" x14ac:dyDescent="0.2">
      <c r="A44" s="60" t="s">
        <v>0</v>
      </c>
      <c r="B44" s="60" t="s">
        <v>1</v>
      </c>
      <c r="C44" s="60" t="s">
        <v>2</v>
      </c>
      <c r="D44" s="44" t="s">
        <v>77</v>
      </c>
      <c r="E44" s="16"/>
      <c r="G44" s="112"/>
      <c r="H44" s="112"/>
      <c r="I44" s="112"/>
      <c r="J44" s="55"/>
      <c r="K44" s="113"/>
      <c r="L44" s="113"/>
    </row>
    <row r="45" spans="1:12" ht="14.25" customHeight="1" x14ac:dyDescent="0.2">
      <c r="A45" s="147" t="s">
        <v>49</v>
      </c>
      <c r="B45" s="60">
        <v>500</v>
      </c>
      <c r="C45" s="61">
        <f>B45/21.6</f>
        <v>23.148148148148145</v>
      </c>
      <c r="D45" s="45">
        <v>320</v>
      </c>
      <c r="E45" s="14"/>
      <c r="G45" s="112"/>
      <c r="H45" s="112"/>
      <c r="I45" s="112"/>
      <c r="J45" s="55"/>
      <c r="K45" s="113"/>
      <c r="L45" s="113"/>
    </row>
    <row r="46" spans="1:12" x14ac:dyDescent="0.2">
      <c r="A46" s="147" t="s">
        <v>50</v>
      </c>
      <c r="B46" s="60">
        <v>380</v>
      </c>
      <c r="C46" s="61">
        <f>B46/21.6</f>
        <v>17.592592592592592</v>
      </c>
      <c r="D46" s="45">
        <v>290</v>
      </c>
      <c r="E46" s="14"/>
      <c r="G46" s="112"/>
      <c r="H46" s="112"/>
      <c r="I46" s="112"/>
      <c r="J46" s="55"/>
      <c r="K46" s="113"/>
      <c r="L46" s="113"/>
    </row>
    <row r="47" spans="1:12" x14ac:dyDescent="0.2">
      <c r="A47" s="147" t="s">
        <v>51</v>
      </c>
      <c r="B47" s="60">
        <v>300</v>
      </c>
      <c r="C47" s="61">
        <f>B47/21.6</f>
        <v>13.888888888888888</v>
      </c>
      <c r="D47" s="45">
        <v>240</v>
      </c>
      <c r="E47" s="14"/>
      <c r="G47" s="112"/>
      <c r="H47" s="112"/>
      <c r="I47" s="112"/>
      <c r="J47" s="55"/>
      <c r="K47" s="113"/>
      <c r="L47" s="113"/>
    </row>
    <row r="48" spans="1:12" x14ac:dyDescent="0.2">
      <c r="A48" s="147" t="s">
        <v>52</v>
      </c>
      <c r="B48" s="60">
        <v>230</v>
      </c>
      <c r="C48" s="61">
        <f>B48/21.6</f>
        <v>10.648148148148147</v>
      </c>
      <c r="D48" s="45">
        <v>170</v>
      </c>
      <c r="E48" s="14"/>
      <c r="G48" s="112"/>
      <c r="H48" s="112"/>
      <c r="I48" s="112"/>
      <c r="J48" s="55"/>
      <c r="K48" s="113"/>
      <c r="L48" s="113"/>
    </row>
    <row r="49" spans="1:5" x14ac:dyDescent="0.2">
      <c r="A49" s="39"/>
      <c r="B49" s="16"/>
      <c r="C49" s="16"/>
      <c r="D49" s="44"/>
      <c r="E49" s="16"/>
    </row>
    <row r="52" spans="1:5" x14ac:dyDescent="0.2">
      <c r="A52" s="55"/>
      <c r="B52" s="54"/>
      <c r="C52" s="54"/>
      <c r="D52" s="54"/>
    </row>
    <row r="53" spans="1:5" x14ac:dyDescent="0.2">
      <c r="A53" s="55"/>
      <c r="B53" s="54"/>
      <c r="C53" s="54"/>
      <c r="D53" s="54"/>
    </row>
    <row r="54" spans="1:5" x14ac:dyDescent="0.2">
      <c r="A54" s="55"/>
      <c r="B54" s="54"/>
      <c r="C54" s="54"/>
      <c r="D54" s="54"/>
    </row>
    <row r="55" spans="1:5" x14ac:dyDescent="0.2">
      <c r="A55" s="55"/>
      <c r="B55" s="54"/>
      <c r="C55" s="54"/>
      <c r="D55" s="54"/>
    </row>
    <row r="56" spans="1:5" x14ac:dyDescent="0.2">
      <c r="A56" s="55"/>
      <c r="B56" s="54"/>
      <c r="C56" s="54"/>
      <c r="D56" s="54"/>
    </row>
    <row r="57" spans="1:5" x14ac:dyDescent="0.2">
      <c r="A57" s="55"/>
      <c r="B57" s="54"/>
      <c r="C57" s="54"/>
      <c r="D57" s="54"/>
    </row>
    <row r="58" spans="1:5" x14ac:dyDescent="0.2">
      <c r="A58" s="55"/>
      <c r="B58" s="54"/>
      <c r="C58" s="54"/>
      <c r="D58" s="54"/>
    </row>
    <row r="59" spans="1:5" x14ac:dyDescent="0.2">
      <c r="A59" s="55"/>
      <c r="B59" s="54"/>
      <c r="C59" s="54"/>
      <c r="D59" s="54"/>
    </row>
    <row r="60" spans="1:5" x14ac:dyDescent="0.2">
      <c r="A60" s="55"/>
      <c r="B60" s="54"/>
      <c r="C60" s="54"/>
      <c r="D60" s="54"/>
    </row>
    <row r="61" spans="1:5" x14ac:dyDescent="0.2">
      <c r="A61" s="55"/>
      <c r="B61" s="54"/>
      <c r="C61" s="54"/>
      <c r="D61" s="54"/>
    </row>
    <row r="62" spans="1:5" x14ac:dyDescent="0.2">
      <c r="A62" s="55"/>
      <c r="B62" s="54"/>
      <c r="C62" s="54"/>
      <c r="D62" s="54"/>
    </row>
    <row r="63" spans="1:5" x14ac:dyDescent="0.2">
      <c r="A63" s="55"/>
      <c r="B63" s="54"/>
      <c r="C63" s="54"/>
      <c r="D63" s="54"/>
    </row>
    <row r="64" spans="1:5" x14ac:dyDescent="0.2">
      <c r="A64" s="55"/>
      <c r="B64" s="54"/>
      <c r="C64" s="54"/>
      <c r="D64" s="54"/>
    </row>
    <row r="65" spans="1:4" x14ac:dyDescent="0.2">
      <c r="A65" s="55"/>
      <c r="B65" s="54"/>
      <c r="C65" s="54"/>
      <c r="D65" s="54"/>
    </row>
    <row r="66" spans="1:4" x14ac:dyDescent="0.2">
      <c r="A66" s="55"/>
      <c r="B66" s="54"/>
      <c r="C66" s="54"/>
      <c r="D66" s="54"/>
    </row>
    <row r="67" spans="1:4" x14ac:dyDescent="0.2">
      <c r="A67" s="55"/>
      <c r="B67" s="54"/>
      <c r="C67" s="54"/>
      <c r="D67" s="54"/>
    </row>
    <row r="68" spans="1:4" x14ac:dyDescent="0.2">
      <c r="A68" s="55"/>
      <c r="B68" s="54"/>
      <c r="C68" s="54"/>
      <c r="D68" s="54"/>
    </row>
    <row r="69" spans="1:4" x14ac:dyDescent="0.2">
      <c r="A69" s="55"/>
      <c r="B69" s="54"/>
      <c r="C69" s="54"/>
      <c r="D69" s="54"/>
    </row>
  </sheetData>
  <mergeCells count="18">
    <mergeCell ref="B33:D33"/>
    <mergeCell ref="A34:D34"/>
    <mergeCell ref="B22:D22"/>
    <mergeCell ref="A24:E24"/>
    <mergeCell ref="A29:A32"/>
    <mergeCell ref="B29:D29"/>
    <mergeCell ref="B30:D30"/>
    <mergeCell ref="B31:D31"/>
    <mergeCell ref="B32:D32"/>
    <mergeCell ref="A1:F1"/>
    <mergeCell ref="A2:E2"/>
    <mergeCell ref="A16:A21"/>
    <mergeCell ref="B16:D16"/>
    <mergeCell ref="B17:D17"/>
    <mergeCell ref="B18:D18"/>
    <mergeCell ref="B19:D19"/>
    <mergeCell ref="B20:D20"/>
    <mergeCell ref="B21:D21"/>
  </mergeCells>
  <pageMargins left="0" right="0" top="0" bottom="0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69"/>
  <sheetViews>
    <sheetView workbookViewId="0">
      <selection activeCell="B46" sqref="B46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42" bestFit="1" customWidth="1"/>
    <col min="7" max="7" width="21.140625" style="105" customWidth="1"/>
    <col min="8" max="8" width="13.85546875" style="105" customWidth="1"/>
    <col min="9" max="9" width="9.140625" style="105"/>
    <col min="10" max="10" width="9.140625" style="18"/>
    <col min="11" max="16384" width="9.140625" style="1"/>
  </cols>
  <sheetData>
    <row r="1" spans="1:12" x14ac:dyDescent="0.2">
      <c r="A1" s="201" t="s">
        <v>106</v>
      </c>
      <c r="B1" s="201"/>
      <c r="C1" s="201"/>
      <c r="D1" s="201"/>
      <c r="E1" s="201"/>
      <c r="F1" s="201"/>
    </row>
    <row r="2" spans="1:12" ht="20.100000000000001" customHeight="1" x14ac:dyDescent="0.2">
      <c r="A2" s="205" t="s">
        <v>8</v>
      </c>
      <c r="B2" s="205"/>
      <c r="C2" s="205"/>
      <c r="D2" s="205"/>
      <c r="E2" s="205"/>
    </row>
    <row r="3" spans="1:12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12" ht="30" customHeight="1" x14ac:dyDescent="0.2">
      <c r="A4" s="57" t="s">
        <v>85</v>
      </c>
      <c r="B4" s="58"/>
      <c r="C4" s="58"/>
      <c r="D4" s="58"/>
      <c r="E4" s="58"/>
    </row>
    <row r="5" spans="1:12" ht="19.899999999999999" customHeight="1" x14ac:dyDescent="0.2">
      <c r="A5" s="59" t="s">
        <v>49</v>
      </c>
      <c r="B5" s="114" t="s">
        <v>17</v>
      </c>
      <c r="C5" s="60">
        <v>275</v>
      </c>
      <c r="D5" s="61">
        <f>$C$45</f>
        <v>23.611111111111111</v>
      </c>
      <c r="E5" s="62">
        <f>C5*D5</f>
        <v>6493.0555555555557</v>
      </c>
      <c r="F5" s="76"/>
      <c r="G5" s="112"/>
      <c r="H5" s="112"/>
      <c r="I5" s="112"/>
      <c r="J5" s="55"/>
    </row>
    <row r="6" spans="1:12" ht="19.899999999999999" customHeight="1" x14ac:dyDescent="0.2">
      <c r="A6" s="59" t="s">
        <v>50</v>
      </c>
      <c r="B6" s="114" t="s">
        <v>17</v>
      </c>
      <c r="C6" s="60">
        <v>95</v>
      </c>
      <c r="D6" s="61">
        <f>$C$46</f>
        <v>18.055555555555554</v>
      </c>
      <c r="E6" s="62">
        <f>C6*D6</f>
        <v>1715.2777777777776</v>
      </c>
      <c r="F6" s="72"/>
      <c r="G6" s="112"/>
      <c r="H6" s="112"/>
      <c r="I6" s="112"/>
      <c r="J6" s="55"/>
    </row>
    <row r="7" spans="1:12" ht="30" customHeight="1" x14ac:dyDescent="0.2">
      <c r="A7" s="57" t="s">
        <v>15</v>
      </c>
      <c r="B7" s="114"/>
      <c r="C7" s="60"/>
      <c r="D7" s="61"/>
      <c r="E7" s="62"/>
      <c r="F7" s="55"/>
      <c r="G7" s="112"/>
      <c r="H7" s="112"/>
      <c r="I7" s="112"/>
      <c r="J7" s="55"/>
    </row>
    <row r="8" spans="1:12" ht="19.899999999999999" customHeight="1" x14ac:dyDescent="0.2">
      <c r="A8" s="59" t="s">
        <v>49</v>
      </c>
      <c r="B8" s="114" t="s">
        <v>17</v>
      </c>
      <c r="C8" s="60">
        <v>405</v>
      </c>
      <c r="D8" s="61">
        <f>$C$45</f>
        <v>23.611111111111111</v>
      </c>
      <c r="E8" s="62">
        <f>C8*D8</f>
        <v>9562.5</v>
      </c>
      <c r="F8" s="55"/>
      <c r="G8" s="112"/>
      <c r="H8" s="112"/>
      <c r="I8" s="112"/>
      <c r="J8" s="55"/>
    </row>
    <row r="9" spans="1:12" ht="19.899999999999999" customHeight="1" x14ac:dyDescent="0.2">
      <c r="A9" s="59" t="s">
        <v>50</v>
      </c>
      <c r="B9" s="114" t="s">
        <v>17</v>
      </c>
      <c r="C9" s="60">
        <v>230</v>
      </c>
      <c r="D9" s="61">
        <f>$C$46</f>
        <v>18.055555555555554</v>
      </c>
      <c r="E9" s="62">
        <f>C9*D9</f>
        <v>4152.7777777777774</v>
      </c>
      <c r="F9" s="72"/>
      <c r="G9" s="112"/>
      <c r="H9" s="112"/>
      <c r="I9" s="112"/>
      <c r="J9" s="55"/>
    </row>
    <row r="10" spans="1:12" ht="50.1" customHeight="1" x14ac:dyDescent="0.2">
      <c r="A10" s="57" t="s">
        <v>16</v>
      </c>
      <c r="B10" s="114"/>
      <c r="C10" s="60"/>
      <c r="D10" s="61"/>
      <c r="E10" s="62"/>
      <c r="F10" s="55"/>
      <c r="G10" s="112"/>
      <c r="H10" s="112"/>
      <c r="I10" s="112"/>
      <c r="J10" s="55"/>
    </row>
    <row r="11" spans="1:12" ht="19.899999999999999" customHeight="1" x14ac:dyDescent="0.2">
      <c r="A11" s="59" t="s">
        <v>49</v>
      </c>
      <c r="B11" s="114" t="s">
        <v>17</v>
      </c>
      <c r="C11" s="60">
        <v>325</v>
      </c>
      <c r="D11" s="61">
        <f>$C$45</f>
        <v>23.611111111111111</v>
      </c>
      <c r="E11" s="62">
        <f>C11*D11</f>
        <v>7673.6111111111113</v>
      </c>
      <c r="F11" s="55"/>
      <c r="G11" s="112"/>
      <c r="H11" s="112"/>
      <c r="I11" s="112"/>
      <c r="J11" s="55"/>
    </row>
    <row r="12" spans="1:12" ht="19.899999999999999" customHeight="1" x14ac:dyDescent="0.2">
      <c r="A12" s="59" t="s">
        <v>50</v>
      </c>
      <c r="B12" s="114" t="s">
        <v>17</v>
      </c>
      <c r="C12" s="60">
        <v>315</v>
      </c>
      <c r="D12" s="61">
        <f>$C$46</f>
        <v>18.055555555555554</v>
      </c>
      <c r="E12" s="62">
        <f>C12*D12</f>
        <v>5687.4999999999991</v>
      </c>
      <c r="F12" s="72"/>
      <c r="G12" s="112"/>
      <c r="H12" s="112"/>
      <c r="I12" s="112"/>
      <c r="J12" s="55"/>
    </row>
    <row r="13" spans="1:12" ht="41.45" customHeight="1" x14ac:dyDescent="0.2">
      <c r="A13" s="57" t="s">
        <v>40</v>
      </c>
      <c r="B13" s="114"/>
      <c r="C13" s="60"/>
      <c r="D13" s="61"/>
      <c r="E13" s="62"/>
      <c r="F13" s="55"/>
      <c r="G13" s="112"/>
      <c r="H13" s="112"/>
      <c r="I13" s="112"/>
      <c r="J13" s="55"/>
    </row>
    <row r="14" spans="1:12" ht="19.899999999999999" customHeight="1" x14ac:dyDescent="0.2">
      <c r="A14" s="59" t="s">
        <v>49</v>
      </c>
      <c r="B14" s="114" t="s">
        <v>17</v>
      </c>
      <c r="C14" s="60">
        <v>90</v>
      </c>
      <c r="D14" s="61">
        <f>$C$45</f>
        <v>23.611111111111111</v>
      </c>
      <c r="E14" s="62">
        <f>C14*D14</f>
        <v>2125</v>
      </c>
      <c r="F14" s="55"/>
      <c r="G14" s="112"/>
      <c r="H14" s="112"/>
      <c r="I14" s="112"/>
      <c r="J14" s="55"/>
      <c r="K14" s="113"/>
      <c r="L14" s="113"/>
    </row>
    <row r="15" spans="1:12" ht="19.899999999999999" customHeight="1" x14ac:dyDescent="0.2">
      <c r="A15" s="59" t="s">
        <v>50</v>
      </c>
      <c r="B15" s="114" t="s">
        <v>17</v>
      </c>
      <c r="C15" s="60">
        <v>20</v>
      </c>
      <c r="D15" s="61">
        <f>$C$46</f>
        <v>18.055555555555554</v>
      </c>
      <c r="E15" s="62">
        <f>C15*D15</f>
        <v>361.11111111111109</v>
      </c>
      <c r="F15" s="72"/>
      <c r="G15" s="112"/>
      <c r="H15" s="112"/>
      <c r="I15" s="112"/>
      <c r="J15" s="55"/>
      <c r="K15" s="113"/>
      <c r="L15" s="113"/>
    </row>
    <row r="16" spans="1:12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37770.833333333336</v>
      </c>
      <c r="F16" s="55"/>
      <c r="G16" s="112"/>
      <c r="H16" s="112"/>
      <c r="I16" s="112"/>
      <c r="J16" s="55"/>
      <c r="K16" s="113"/>
      <c r="L16" s="113"/>
    </row>
    <row r="17" spans="1:12" ht="24.95" customHeight="1" x14ac:dyDescent="0.2">
      <c r="A17" s="206"/>
      <c r="B17" s="207" t="s">
        <v>87</v>
      </c>
      <c r="C17" s="207"/>
      <c r="D17" s="207"/>
      <c r="E17" s="62">
        <f>H19*H22</f>
        <v>13600.049482009386</v>
      </c>
      <c r="F17" s="76"/>
      <c r="G17" s="112"/>
      <c r="H17" s="112"/>
      <c r="I17" s="112"/>
      <c r="J17" s="55"/>
      <c r="K17" s="113"/>
      <c r="L17" s="113"/>
    </row>
    <row r="18" spans="1:12" ht="24.95" customHeight="1" x14ac:dyDescent="0.2">
      <c r="A18" s="206"/>
      <c r="B18" s="207" t="s">
        <v>83</v>
      </c>
      <c r="C18" s="207"/>
      <c r="D18" s="207"/>
      <c r="E18" s="62">
        <v>800</v>
      </c>
      <c r="F18" s="55"/>
      <c r="G18" s="121"/>
      <c r="H18" s="112"/>
      <c r="I18" s="112"/>
      <c r="J18" s="55"/>
      <c r="K18" s="113"/>
      <c r="L18" s="113"/>
    </row>
    <row r="19" spans="1:12" ht="24.95" customHeight="1" x14ac:dyDescent="0.2">
      <c r="A19" s="206"/>
      <c r="B19" s="207" t="s">
        <v>57</v>
      </c>
      <c r="C19" s="207"/>
      <c r="D19" s="207"/>
      <c r="E19" s="62">
        <v>600</v>
      </c>
      <c r="F19" s="55"/>
      <c r="G19" s="122" t="s">
        <v>94</v>
      </c>
      <c r="H19" s="123">
        <v>17262.236000000001</v>
      </c>
      <c r="I19" s="112"/>
      <c r="J19" s="55"/>
      <c r="K19" s="113"/>
      <c r="L19" s="113"/>
    </row>
    <row r="20" spans="1:12" ht="24.95" customHeight="1" x14ac:dyDescent="0.2">
      <c r="A20" s="206"/>
      <c r="B20" s="207" t="s">
        <v>20</v>
      </c>
      <c r="C20" s="207"/>
      <c r="D20" s="207"/>
      <c r="E20" s="62">
        <f>SUM(E16:E17)+E18+E19</f>
        <v>52770.882815342724</v>
      </c>
      <c r="F20" s="55"/>
      <c r="G20" s="122" t="s">
        <v>18</v>
      </c>
      <c r="H20" s="123">
        <f>E16</f>
        <v>37770.833333333336</v>
      </c>
      <c r="I20" s="112"/>
      <c r="J20" s="55"/>
      <c r="K20" s="113"/>
      <c r="L20" s="113"/>
    </row>
    <row r="21" spans="1:12" ht="24.95" customHeight="1" x14ac:dyDescent="0.2">
      <c r="A21" s="206"/>
      <c r="B21" s="207" t="s">
        <v>21</v>
      </c>
      <c r="C21" s="207"/>
      <c r="D21" s="207"/>
      <c r="E21" s="62">
        <f>E20*0.2</f>
        <v>10554.176563068546</v>
      </c>
      <c r="F21" s="72"/>
      <c r="G21" s="122" t="s">
        <v>91</v>
      </c>
      <c r="H21" s="123">
        <f>E16+E29</f>
        <v>47941.666666666672</v>
      </c>
      <c r="I21" s="112"/>
      <c r="J21" s="55"/>
      <c r="K21" s="113"/>
      <c r="L21" s="113"/>
    </row>
    <row r="22" spans="1:12" ht="24.95" customHeight="1" x14ac:dyDescent="0.2">
      <c r="A22" s="116" t="s">
        <v>22</v>
      </c>
      <c r="B22" s="202"/>
      <c r="C22" s="202"/>
      <c r="D22" s="202"/>
      <c r="E22" s="65">
        <f>SUM(E20:E21)</f>
        <v>63325.059378411272</v>
      </c>
      <c r="F22" s="55"/>
      <c r="G22" s="122" t="s">
        <v>92</v>
      </c>
      <c r="H22" s="124">
        <f>H20/H21</f>
        <v>0.78784981748652871</v>
      </c>
      <c r="I22" s="112"/>
      <c r="J22" s="55"/>
      <c r="K22" s="113"/>
      <c r="L22" s="113"/>
    </row>
    <row r="23" spans="1:12" ht="24.95" customHeight="1" x14ac:dyDescent="0.2">
      <c r="A23" s="33"/>
      <c r="B23" s="34"/>
      <c r="C23" s="34"/>
      <c r="D23" s="34"/>
      <c r="E23" s="35"/>
      <c r="F23" s="55"/>
      <c r="G23" s="112"/>
      <c r="H23" s="112"/>
      <c r="I23" s="112"/>
      <c r="J23" s="55"/>
    </row>
    <row r="24" spans="1:12" ht="24" customHeight="1" x14ac:dyDescent="0.2">
      <c r="A24" s="205" t="s">
        <v>102</v>
      </c>
      <c r="B24" s="205"/>
      <c r="C24" s="205"/>
      <c r="D24" s="205"/>
      <c r="E24" s="205"/>
      <c r="F24" s="55"/>
      <c r="G24" s="112"/>
      <c r="H24" s="112"/>
      <c r="I24" s="112"/>
      <c r="J24" s="55"/>
    </row>
    <row r="25" spans="1:12" ht="24.95" customHeight="1" x14ac:dyDescent="0.2">
      <c r="A25" s="114" t="s">
        <v>9</v>
      </c>
      <c r="B25" s="114" t="s">
        <v>10</v>
      </c>
      <c r="C25" s="114" t="s">
        <v>11</v>
      </c>
      <c r="D25" s="114" t="s">
        <v>12</v>
      </c>
      <c r="E25" s="114" t="s">
        <v>13</v>
      </c>
      <c r="F25" s="55"/>
      <c r="G25" s="112"/>
      <c r="H25" s="112"/>
      <c r="I25" s="112"/>
      <c r="J25" s="55"/>
    </row>
    <row r="26" spans="1:12" ht="24.95" customHeight="1" x14ac:dyDescent="0.2">
      <c r="A26" s="115" t="s">
        <v>23</v>
      </c>
      <c r="B26" s="114" t="s">
        <v>17</v>
      </c>
      <c r="C26" s="60">
        <v>252</v>
      </c>
      <c r="D26" s="61">
        <f>C48</f>
        <v>11.111111111111111</v>
      </c>
      <c r="E26" s="62">
        <f>C26*D26</f>
        <v>2800</v>
      </c>
      <c r="F26" s="55"/>
      <c r="G26" s="112"/>
      <c r="H26" s="112"/>
      <c r="I26" s="112"/>
      <c r="J26" s="55"/>
    </row>
    <row r="27" spans="1:12" ht="24.95" customHeight="1" x14ac:dyDescent="0.2">
      <c r="A27" s="115" t="s">
        <v>24</v>
      </c>
      <c r="B27" s="114" t="s">
        <v>17</v>
      </c>
      <c r="C27" s="60">
        <v>25</v>
      </c>
      <c r="D27" s="61">
        <f>C45</f>
        <v>23.611111111111111</v>
      </c>
      <c r="E27" s="62">
        <f>C27*D27</f>
        <v>590.27777777777771</v>
      </c>
      <c r="F27" s="72"/>
      <c r="G27" s="112"/>
      <c r="H27" s="112"/>
      <c r="I27" s="112"/>
      <c r="J27" s="55"/>
    </row>
    <row r="28" spans="1:12" ht="24.95" customHeight="1" x14ac:dyDescent="0.2">
      <c r="A28" s="115" t="s">
        <v>25</v>
      </c>
      <c r="B28" s="114"/>
      <c r="C28" s="68"/>
      <c r="D28" s="68"/>
      <c r="E28" s="62">
        <f>SUM(E26:E27)</f>
        <v>3390.2777777777778</v>
      </c>
      <c r="F28" s="55"/>
      <c r="G28" s="112"/>
      <c r="H28" s="112"/>
      <c r="I28" s="112"/>
      <c r="J28" s="55"/>
    </row>
    <row r="29" spans="1:12" ht="24.95" customHeight="1" x14ac:dyDescent="0.2">
      <c r="A29" s="206" t="s">
        <v>86</v>
      </c>
      <c r="B29" s="207" t="s">
        <v>79</v>
      </c>
      <c r="C29" s="207"/>
      <c r="D29" s="207"/>
      <c r="E29" s="62">
        <f>3*(E26+E27)</f>
        <v>10170.833333333334</v>
      </c>
      <c r="F29" s="55"/>
      <c r="G29" s="112"/>
      <c r="H29" s="112"/>
      <c r="I29" s="112"/>
      <c r="J29" s="55"/>
    </row>
    <row r="30" spans="1:12" ht="24.95" customHeight="1" x14ac:dyDescent="0.2">
      <c r="A30" s="206"/>
      <c r="B30" s="207" t="s">
        <v>87</v>
      </c>
      <c r="C30" s="207"/>
      <c r="D30" s="207"/>
      <c r="E30" s="62">
        <f>H30*H33</f>
        <v>3662.1865179906135</v>
      </c>
      <c r="F30" s="87"/>
      <c r="G30" s="122" t="s">
        <v>94</v>
      </c>
      <c r="H30" s="123">
        <v>17262.236000000001</v>
      </c>
      <c r="I30" s="112"/>
      <c r="J30" s="55"/>
    </row>
    <row r="31" spans="1:12" ht="24.95" customHeight="1" x14ac:dyDescent="0.2">
      <c r="A31" s="206"/>
      <c r="B31" s="207" t="s">
        <v>20</v>
      </c>
      <c r="C31" s="207"/>
      <c r="D31" s="207"/>
      <c r="E31" s="62">
        <f>SUM(E29:E30)</f>
        <v>13833.019851323948</v>
      </c>
      <c r="F31" s="55"/>
      <c r="G31" s="122" t="s">
        <v>18</v>
      </c>
      <c r="H31" s="123">
        <f>E29</f>
        <v>10170.833333333334</v>
      </c>
      <c r="I31" s="112"/>
      <c r="J31" s="55"/>
    </row>
    <row r="32" spans="1:12" ht="24.95" customHeight="1" x14ac:dyDescent="0.2">
      <c r="A32" s="206"/>
      <c r="B32" s="207" t="s">
        <v>21</v>
      </c>
      <c r="C32" s="207"/>
      <c r="D32" s="207"/>
      <c r="E32" s="62">
        <f>E31*0.2</f>
        <v>2766.60397026479</v>
      </c>
      <c r="F32" s="55"/>
      <c r="G32" s="122" t="s">
        <v>91</v>
      </c>
      <c r="H32" s="123">
        <f>H21</f>
        <v>47941.666666666672</v>
      </c>
      <c r="I32" s="112"/>
      <c r="J32" s="55"/>
    </row>
    <row r="33" spans="1:10" ht="24.95" customHeight="1" x14ac:dyDescent="0.2">
      <c r="A33" s="116" t="s">
        <v>26</v>
      </c>
      <c r="B33" s="202"/>
      <c r="C33" s="202"/>
      <c r="D33" s="202"/>
      <c r="E33" s="65">
        <f>SUM(E31:E32)</f>
        <v>16599.623821588739</v>
      </c>
      <c r="F33" s="55"/>
      <c r="G33" s="122" t="s">
        <v>92</v>
      </c>
      <c r="H33" s="124">
        <f>H31/H32</f>
        <v>0.21215018251347123</v>
      </c>
      <c r="I33" s="112"/>
      <c r="J33" s="55"/>
    </row>
    <row r="34" spans="1:10" ht="24.95" customHeight="1" x14ac:dyDescent="0.2">
      <c r="A34" s="208" t="s">
        <v>103</v>
      </c>
      <c r="B34" s="208"/>
      <c r="C34" s="208"/>
      <c r="D34" s="208"/>
      <c r="E34" s="65">
        <f>E22+E33</f>
        <v>79924.683200000014</v>
      </c>
      <c r="F34" s="69"/>
      <c r="G34" s="122" t="s">
        <v>92</v>
      </c>
      <c r="H34" s="124">
        <f>H31/H32</f>
        <v>0.21215018251347123</v>
      </c>
      <c r="I34" s="112"/>
      <c r="J34" s="55"/>
    </row>
    <row r="35" spans="1:10" x14ac:dyDescent="0.2">
      <c r="A35" s="12"/>
      <c r="E35" s="111">
        <f>E34/'2022_new'!E57</f>
        <v>0.67487732712322657</v>
      </c>
      <c r="F35" s="55"/>
      <c r="G35" s="112"/>
      <c r="H35" s="112"/>
      <c r="I35" s="112"/>
      <c r="J35" s="55"/>
    </row>
    <row r="36" spans="1:10" x14ac:dyDescent="0.2">
      <c r="A36" s="12"/>
      <c r="E36" s="125">
        <f>E34/'2025_NRSC'!E43</f>
        <v>0.98545630199291223</v>
      </c>
      <c r="F36" s="55"/>
      <c r="G36" s="112"/>
      <c r="H36" s="112"/>
      <c r="I36" s="112"/>
      <c r="J36" s="55"/>
    </row>
    <row r="37" spans="1:10" x14ac:dyDescent="0.2">
      <c r="A37" s="12"/>
      <c r="F37" s="55"/>
      <c r="G37" s="112"/>
      <c r="H37" s="112"/>
      <c r="I37" s="112"/>
      <c r="J37" s="55"/>
    </row>
    <row r="38" spans="1:10" x14ac:dyDescent="0.2">
      <c r="A38" s="12"/>
      <c r="E38" s="31"/>
      <c r="F38" s="55"/>
      <c r="G38" s="112"/>
      <c r="H38" s="112"/>
      <c r="I38" s="112"/>
      <c r="J38" s="55"/>
    </row>
    <row r="39" spans="1:10" x14ac:dyDescent="0.2">
      <c r="A39" s="12"/>
      <c r="F39" s="55"/>
      <c r="G39" s="112"/>
      <c r="H39" s="112"/>
      <c r="I39" s="112"/>
      <c r="J39" s="55"/>
    </row>
    <row r="40" spans="1:10" x14ac:dyDescent="0.2">
      <c r="A40" s="12"/>
      <c r="F40" s="55"/>
      <c r="G40" s="112"/>
      <c r="H40" s="112"/>
      <c r="I40" s="112"/>
      <c r="J40" s="55"/>
    </row>
    <row r="41" spans="1:10" x14ac:dyDescent="0.2">
      <c r="A41" s="12"/>
      <c r="F41" s="55"/>
      <c r="G41" s="112"/>
      <c r="H41" s="112"/>
      <c r="I41" s="112"/>
      <c r="J41" s="55"/>
    </row>
    <row r="42" spans="1:10" x14ac:dyDescent="0.2">
      <c r="A42" s="12"/>
    </row>
    <row r="43" spans="1:10" x14ac:dyDescent="0.2">
      <c r="A43" s="12"/>
      <c r="B43" s="54"/>
      <c r="D43" s="43"/>
    </row>
    <row r="44" spans="1:10" ht="64.5" customHeight="1" x14ac:dyDescent="0.2">
      <c r="A44" s="60" t="s">
        <v>0</v>
      </c>
      <c r="B44" s="60" t="s">
        <v>1</v>
      </c>
      <c r="C44" s="60" t="s">
        <v>2</v>
      </c>
      <c r="D44" s="44" t="s">
        <v>77</v>
      </c>
      <c r="E44" s="16"/>
    </row>
    <row r="45" spans="1:10" ht="14.25" customHeight="1" x14ac:dyDescent="0.2">
      <c r="A45" s="115" t="s">
        <v>49</v>
      </c>
      <c r="B45" s="60">
        <v>510</v>
      </c>
      <c r="C45" s="61">
        <f>B45/21.6</f>
        <v>23.611111111111111</v>
      </c>
      <c r="D45" s="45">
        <v>320</v>
      </c>
      <c r="E45" s="14"/>
    </row>
    <row r="46" spans="1:10" x14ac:dyDescent="0.2">
      <c r="A46" s="115" t="s">
        <v>50</v>
      </c>
      <c r="B46" s="60">
        <v>390</v>
      </c>
      <c r="C46" s="61">
        <f>B46/21.6</f>
        <v>18.055555555555554</v>
      </c>
      <c r="D46" s="45">
        <v>290</v>
      </c>
      <c r="E46" s="14"/>
    </row>
    <row r="47" spans="1:10" x14ac:dyDescent="0.2">
      <c r="A47" s="115" t="s">
        <v>51</v>
      </c>
      <c r="B47" s="60">
        <v>310</v>
      </c>
      <c r="C47" s="61">
        <f>B47/21.6</f>
        <v>14.351851851851851</v>
      </c>
      <c r="D47" s="45">
        <v>240</v>
      </c>
      <c r="E47" s="14"/>
    </row>
    <row r="48" spans="1:10" x14ac:dyDescent="0.2">
      <c r="A48" s="115" t="s">
        <v>52</v>
      </c>
      <c r="B48" s="60">
        <v>240</v>
      </c>
      <c r="C48" s="61">
        <f>B48/21.6</f>
        <v>11.111111111111111</v>
      </c>
      <c r="D48" s="45">
        <v>170</v>
      </c>
      <c r="E48" s="14"/>
    </row>
    <row r="49" spans="1:5" x14ac:dyDescent="0.2">
      <c r="A49" s="39"/>
      <c r="B49" s="16"/>
      <c r="C49" s="16"/>
      <c r="D49" s="44"/>
      <c r="E49" s="16"/>
    </row>
    <row r="52" spans="1:5" x14ac:dyDescent="0.2">
      <c r="A52" s="55"/>
      <c r="B52" s="54"/>
      <c r="C52" s="54"/>
      <c r="D52" s="54"/>
    </row>
    <row r="53" spans="1:5" x14ac:dyDescent="0.2">
      <c r="A53" s="55"/>
      <c r="B53" s="54"/>
      <c r="C53" s="54"/>
      <c r="D53" s="54"/>
    </row>
    <row r="54" spans="1:5" x14ac:dyDescent="0.2">
      <c r="A54" s="55"/>
      <c r="B54" s="54"/>
      <c r="C54" s="54"/>
      <c r="D54" s="54"/>
    </row>
    <row r="55" spans="1:5" x14ac:dyDescent="0.2">
      <c r="A55" s="55"/>
      <c r="B55" s="54"/>
      <c r="C55" s="54"/>
      <c r="D55" s="54"/>
    </row>
    <row r="56" spans="1:5" x14ac:dyDescent="0.2">
      <c r="A56" s="55"/>
      <c r="B56" s="54"/>
      <c r="C56" s="54"/>
      <c r="D56" s="54"/>
    </row>
    <row r="57" spans="1:5" x14ac:dyDescent="0.2">
      <c r="A57" s="55"/>
      <c r="B57" s="54"/>
      <c r="C57" s="54"/>
      <c r="D57" s="54"/>
    </row>
    <row r="58" spans="1:5" x14ac:dyDescent="0.2">
      <c r="A58" s="55"/>
      <c r="B58" s="54"/>
      <c r="C58" s="54"/>
      <c r="D58" s="54"/>
    </row>
    <row r="59" spans="1:5" x14ac:dyDescent="0.2">
      <c r="A59" s="55"/>
      <c r="B59" s="54"/>
      <c r="C59" s="54"/>
      <c r="D59" s="54"/>
    </row>
    <row r="60" spans="1:5" x14ac:dyDescent="0.2">
      <c r="A60" s="55"/>
      <c r="B60" s="54"/>
      <c r="C60" s="54"/>
      <c r="D60" s="54"/>
    </row>
    <row r="61" spans="1:5" x14ac:dyDescent="0.2">
      <c r="A61" s="55"/>
      <c r="B61" s="54"/>
      <c r="C61" s="54"/>
      <c r="D61" s="54"/>
    </row>
    <row r="62" spans="1:5" x14ac:dyDescent="0.2">
      <c r="A62" s="55"/>
      <c r="B62" s="54"/>
      <c r="C62" s="54"/>
      <c r="D62" s="54"/>
    </row>
    <row r="63" spans="1:5" x14ac:dyDescent="0.2">
      <c r="A63" s="55"/>
      <c r="B63" s="54"/>
      <c r="C63" s="54"/>
      <c r="D63" s="54"/>
    </row>
    <row r="64" spans="1:5" x14ac:dyDescent="0.2">
      <c r="A64" s="55"/>
      <c r="B64" s="54"/>
      <c r="C64" s="54"/>
      <c r="D64" s="54"/>
    </row>
    <row r="65" spans="1:4" x14ac:dyDescent="0.2">
      <c r="A65" s="55"/>
      <c r="B65" s="54"/>
      <c r="C65" s="54"/>
      <c r="D65" s="54"/>
    </row>
    <row r="66" spans="1:4" x14ac:dyDescent="0.2">
      <c r="A66" s="55"/>
      <c r="B66" s="54"/>
      <c r="C66" s="54"/>
      <c r="D66" s="54"/>
    </row>
    <row r="67" spans="1:4" x14ac:dyDescent="0.2">
      <c r="A67" s="55"/>
      <c r="B67" s="54"/>
      <c r="C67" s="54"/>
      <c r="D67" s="54"/>
    </row>
    <row r="68" spans="1:4" x14ac:dyDescent="0.2">
      <c r="A68" s="55"/>
      <c r="B68" s="54"/>
      <c r="C68" s="54"/>
      <c r="D68" s="54"/>
    </row>
    <row r="69" spans="1:4" x14ac:dyDescent="0.2">
      <c r="A69" s="55"/>
      <c r="B69" s="54"/>
      <c r="C69" s="54"/>
      <c r="D69" s="54"/>
    </row>
  </sheetData>
  <mergeCells count="18">
    <mergeCell ref="A1:F1"/>
    <mergeCell ref="A2:E2"/>
    <mergeCell ref="A16:A21"/>
    <mergeCell ref="B16:D16"/>
    <mergeCell ref="B17:D17"/>
    <mergeCell ref="B18:D18"/>
    <mergeCell ref="B19:D19"/>
    <mergeCell ref="B20:D20"/>
    <mergeCell ref="B21:D21"/>
    <mergeCell ref="B33:D33"/>
    <mergeCell ref="A34:D34"/>
    <mergeCell ref="B22:D22"/>
    <mergeCell ref="A24:E24"/>
    <mergeCell ref="A29:A32"/>
    <mergeCell ref="B29:D29"/>
    <mergeCell ref="B30:D30"/>
    <mergeCell ref="B31:D31"/>
    <mergeCell ref="B32:D32"/>
  </mergeCells>
  <pageMargins left="0" right="0" top="0" bottom="0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92"/>
  <sheetViews>
    <sheetView topLeftCell="A49" workbookViewId="0">
      <selection activeCell="B68" sqref="B68:B71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55" bestFit="1" customWidth="1"/>
    <col min="7" max="7" width="21.140625" style="105" customWidth="1"/>
    <col min="8" max="8" width="13.85546875" style="105" customWidth="1"/>
    <col min="9" max="10" width="9.140625" style="18"/>
    <col min="11" max="16384" width="9.140625" style="1"/>
  </cols>
  <sheetData>
    <row r="1" spans="1:10" x14ac:dyDescent="0.2">
      <c r="A1" s="201" t="s">
        <v>100</v>
      </c>
      <c r="B1" s="201"/>
      <c r="C1" s="201"/>
      <c r="D1" s="201"/>
      <c r="E1" s="201"/>
      <c r="F1" s="201"/>
    </row>
    <row r="2" spans="1:10" ht="20.100000000000001" customHeight="1" x14ac:dyDescent="0.2">
      <c r="A2" s="205" t="s">
        <v>8</v>
      </c>
      <c r="B2" s="205"/>
      <c r="C2" s="205"/>
      <c r="D2" s="205"/>
      <c r="E2" s="205"/>
    </row>
    <row r="3" spans="1:10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10" ht="30" customHeight="1" x14ac:dyDescent="0.2">
      <c r="A4" s="57" t="s">
        <v>85</v>
      </c>
      <c r="B4" s="58"/>
      <c r="C4" s="58"/>
      <c r="D4" s="58"/>
      <c r="E4" s="58"/>
    </row>
    <row r="5" spans="1:10" ht="19.899999999999999" customHeight="1" x14ac:dyDescent="0.2">
      <c r="A5" s="59" t="s">
        <v>49</v>
      </c>
      <c r="B5" s="95" t="s">
        <v>17</v>
      </c>
      <c r="C5" s="60">
        <v>390</v>
      </c>
      <c r="D5" s="61">
        <f>$C$68</f>
        <v>20.37037037037037</v>
      </c>
      <c r="E5" s="62">
        <f>C5*D5</f>
        <v>7944.4444444444443</v>
      </c>
      <c r="F5" s="76"/>
      <c r="I5" s="55"/>
      <c r="J5" s="55"/>
    </row>
    <row r="6" spans="1:10" ht="19.899999999999999" customHeight="1" x14ac:dyDescent="0.2">
      <c r="A6" s="59" t="s">
        <v>50</v>
      </c>
      <c r="B6" s="95" t="s">
        <v>17</v>
      </c>
      <c r="C6" s="60">
        <v>185</v>
      </c>
      <c r="D6" s="61">
        <f>$C$69</f>
        <v>16.666666666666664</v>
      </c>
      <c r="E6" s="62">
        <f>C6*D6</f>
        <v>3083.333333333333</v>
      </c>
      <c r="F6" s="72"/>
    </row>
    <row r="7" spans="1:10" ht="30" customHeight="1" x14ac:dyDescent="0.2">
      <c r="A7" s="57" t="s">
        <v>15</v>
      </c>
      <c r="B7" s="95"/>
      <c r="C7" s="60"/>
      <c r="D7" s="61"/>
      <c r="E7" s="62"/>
    </row>
    <row r="8" spans="1:10" ht="19.899999999999999" customHeight="1" x14ac:dyDescent="0.2">
      <c r="A8" s="59" t="s">
        <v>49</v>
      </c>
      <c r="B8" s="95" t="s">
        <v>17</v>
      </c>
      <c r="C8" s="60">
        <v>440</v>
      </c>
      <c r="D8" s="61">
        <f>$C$68</f>
        <v>20.37037037037037</v>
      </c>
      <c r="E8" s="62">
        <f>C8*D8</f>
        <v>8962.9629629629635</v>
      </c>
    </row>
    <row r="9" spans="1:10" ht="19.899999999999999" customHeight="1" x14ac:dyDescent="0.2">
      <c r="A9" s="59" t="s">
        <v>50</v>
      </c>
      <c r="B9" s="95" t="s">
        <v>17</v>
      </c>
      <c r="C9" s="60">
        <v>315</v>
      </c>
      <c r="D9" s="61">
        <f>$C$69</f>
        <v>16.666666666666664</v>
      </c>
      <c r="E9" s="62">
        <f>C9*D9</f>
        <v>5249.9999999999991</v>
      </c>
      <c r="F9" s="72"/>
    </row>
    <row r="10" spans="1:10" ht="50.1" customHeight="1" x14ac:dyDescent="0.2">
      <c r="A10" s="57" t="s">
        <v>16</v>
      </c>
      <c r="B10" s="95"/>
      <c r="C10" s="60"/>
      <c r="D10" s="61"/>
      <c r="E10" s="62"/>
    </row>
    <row r="11" spans="1:10" ht="19.899999999999999" customHeight="1" x14ac:dyDescent="0.2">
      <c r="A11" s="59" t="s">
        <v>49</v>
      </c>
      <c r="B11" s="95" t="s">
        <v>17</v>
      </c>
      <c r="C11" s="60">
        <v>285</v>
      </c>
      <c r="D11" s="61">
        <f>$C$68</f>
        <v>20.37037037037037</v>
      </c>
      <c r="E11" s="62">
        <f>C11*D11</f>
        <v>5805.5555555555557</v>
      </c>
    </row>
    <row r="12" spans="1:10" ht="19.899999999999999" customHeight="1" x14ac:dyDescent="0.2">
      <c r="A12" s="59" t="s">
        <v>50</v>
      </c>
      <c r="B12" s="95" t="s">
        <v>17</v>
      </c>
      <c r="C12" s="60">
        <v>295</v>
      </c>
      <c r="D12" s="61">
        <f>$C$69</f>
        <v>16.666666666666664</v>
      </c>
      <c r="E12" s="62">
        <f>C12*D12</f>
        <v>4916.6666666666661</v>
      </c>
      <c r="F12" s="72"/>
    </row>
    <row r="13" spans="1:10" ht="41.45" customHeight="1" x14ac:dyDescent="0.2">
      <c r="A13" s="57" t="s">
        <v>40</v>
      </c>
      <c r="B13" s="97"/>
      <c r="C13" s="60"/>
      <c r="D13" s="61"/>
      <c r="E13" s="62"/>
    </row>
    <row r="14" spans="1:10" ht="19.899999999999999" customHeight="1" x14ac:dyDescent="0.2">
      <c r="A14" s="59" t="s">
        <v>49</v>
      </c>
      <c r="B14" s="97" t="s">
        <v>17</v>
      </c>
      <c r="C14" s="60">
        <v>205</v>
      </c>
      <c r="D14" s="61">
        <f>$C$68</f>
        <v>20.37037037037037</v>
      </c>
      <c r="E14" s="62">
        <f>C14*D14</f>
        <v>4175.9259259259261</v>
      </c>
    </row>
    <row r="15" spans="1:10" ht="19.899999999999999" customHeight="1" x14ac:dyDescent="0.2">
      <c r="A15" s="59" t="s">
        <v>50</v>
      </c>
      <c r="B15" s="97" t="s">
        <v>17</v>
      </c>
      <c r="C15" s="60">
        <v>125</v>
      </c>
      <c r="D15" s="61">
        <f>$C$69</f>
        <v>16.666666666666664</v>
      </c>
      <c r="E15" s="62">
        <f>C15*D15</f>
        <v>2083.333333333333</v>
      </c>
      <c r="F15" s="72"/>
    </row>
    <row r="16" spans="1:10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42222.222222222226</v>
      </c>
    </row>
    <row r="17" spans="1:10" ht="24.95" customHeight="1" x14ac:dyDescent="0.2">
      <c r="A17" s="206"/>
      <c r="B17" s="207" t="s">
        <v>87</v>
      </c>
      <c r="C17" s="207"/>
      <c r="D17" s="207"/>
      <c r="E17" s="62">
        <f>H19*H22</f>
        <v>13447.416318163183</v>
      </c>
      <c r="F17" s="76"/>
      <c r="I17" s="55"/>
      <c r="J17" s="55"/>
    </row>
    <row r="18" spans="1:10" ht="24.95" customHeight="1" x14ac:dyDescent="0.2">
      <c r="A18" s="206"/>
      <c r="B18" s="207" t="s">
        <v>83</v>
      </c>
      <c r="C18" s="207"/>
      <c r="D18" s="207"/>
      <c r="E18" s="62">
        <v>800</v>
      </c>
      <c r="G18" s="106"/>
    </row>
    <row r="19" spans="1:10" ht="24.95" customHeight="1" x14ac:dyDescent="0.2">
      <c r="A19" s="206"/>
      <c r="B19" s="207" t="s">
        <v>57</v>
      </c>
      <c r="C19" s="207"/>
      <c r="D19" s="207"/>
      <c r="E19" s="62">
        <v>600</v>
      </c>
      <c r="G19" s="107" t="s">
        <v>94</v>
      </c>
      <c r="H19" s="108">
        <v>17262.236000000001</v>
      </c>
    </row>
    <row r="20" spans="1:10" ht="24.95" customHeight="1" x14ac:dyDescent="0.2">
      <c r="A20" s="206"/>
      <c r="B20" s="207" t="s">
        <v>20</v>
      </c>
      <c r="C20" s="207"/>
      <c r="D20" s="207"/>
      <c r="E20" s="62">
        <f>SUM(E16:E17)+E18+E19</f>
        <v>57069.638540385407</v>
      </c>
      <c r="G20" s="107" t="s">
        <v>18</v>
      </c>
      <c r="H20" s="108">
        <f>E16</f>
        <v>42222.222222222226</v>
      </c>
    </row>
    <row r="21" spans="1:10" ht="24.95" customHeight="1" x14ac:dyDescent="0.2">
      <c r="A21" s="206"/>
      <c r="B21" s="207" t="s">
        <v>21</v>
      </c>
      <c r="C21" s="207"/>
      <c r="D21" s="207"/>
      <c r="E21" s="62">
        <f>E20*0.2</f>
        <v>11413.927708077083</v>
      </c>
      <c r="F21" s="72"/>
      <c r="G21" s="107" t="s">
        <v>91</v>
      </c>
      <c r="H21" s="108">
        <f>E16+E41+E52</f>
        <v>54200.000000000007</v>
      </c>
    </row>
    <row r="22" spans="1:10" ht="24.95" customHeight="1" x14ac:dyDescent="0.2">
      <c r="A22" s="64" t="s">
        <v>22</v>
      </c>
      <c r="B22" s="202"/>
      <c r="C22" s="202"/>
      <c r="D22" s="202"/>
      <c r="E22" s="65">
        <f>SUM(E20:E21)</f>
        <v>68483.566248462492</v>
      </c>
      <c r="G22" s="107" t="s">
        <v>92</v>
      </c>
      <c r="H22" s="109">
        <f>H20/H21</f>
        <v>0.77900779007790077</v>
      </c>
    </row>
    <row r="23" spans="1:10" x14ac:dyDescent="0.2">
      <c r="A23" s="8"/>
      <c r="B23" s="9"/>
      <c r="C23" s="9"/>
      <c r="D23" s="9"/>
      <c r="E23" s="9"/>
    </row>
    <row r="24" spans="1:10" ht="28.15" customHeight="1" x14ac:dyDescent="0.2">
      <c r="A24" s="205" t="s">
        <v>96</v>
      </c>
      <c r="B24" s="205"/>
      <c r="C24" s="205"/>
      <c r="D24" s="205"/>
      <c r="E24" s="205"/>
    </row>
    <row r="25" spans="1:10" ht="24.95" customHeight="1" x14ac:dyDescent="0.2">
      <c r="A25" s="95" t="s">
        <v>9</v>
      </c>
      <c r="B25" s="95" t="s">
        <v>10</v>
      </c>
      <c r="C25" s="95" t="s">
        <v>11</v>
      </c>
      <c r="D25" s="95" t="s">
        <v>12</v>
      </c>
      <c r="E25" s="95" t="s">
        <v>13</v>
      </c>
    </row>
    <row r="26" spans="1:10" ht="24.95" customHeight="1" x14ac:dyDescent="0.2">
      <c r="A26" s="96" t="s">
        <v>49</v>
      </c>
      <c r="B26" s="95" t="s">
        <v>17</v>
      </c>
      <c r="C26" s="60">
        <v>504</v>
      </c>
      <c r="D26" s="61">
        <f>C68</f>
        <v>20.37037037037037</v>
      </c>
      <c r="E26" s="62">
        <f>C26*D26</f>
        <v>10266.666666666666</v>
      </c>
      <c r="F26" s="76"/>
      <c r="I26" s="55"/>
      <c r="J26" s="55"/>
    </row>
    <row r="27" spans="1:10" ht="24.95" customHeight="1" x14ac:dyDescent="0.2">
      <c r="A27" s="96" t="s">
        <v>50</v>
      </c>
      <c r="B27" s="95" t="s">
        <v>17</v>
      </c>
      <c r="C27" s="60">
        <v>252</v>
      </c>
      <c r="D27" s="61">
        <f>C69</f>
        <v>16.666666666666664</v>
      </c>
      <c r="E27" s="62">
        <f>C27*D27</f>
        <v>4199.9999999999991</v>
      </c>
      <c r="F27" s="76"/>
      <c r="I27" s="55"/>
      <c r="J27" s="55"/>
    </row>
    <row r="28" spans="1:10" ht="24.95" customHeight="1" x14ac:dyDescent="0.2">
      <c r="A28" s="206" t="s">
        <v>86</v>
      </c>
      <c r="B28" s="207" t="s">
        <v>54</v>
      </c>
      <c r="C28" s="207"/>
      <c r="D28" s="207"/>
      <c r="E28" s="62">
        <f>E26+E27</f>
        <v>14466.666666666664</v>
      </c>
    </row>
    <row r="29" spans="1:10" ht="24.95" customHeight="1" x14ac:dyDescent="0.2">
      <c r="A29" s="206"/>
      <c r="B29" s="207" t="s">
        <v>87</v>
      </c>
      <c r="C29" s="207"/>
      <c r="D29" s="207"/>
      <c r="E29" s="62">
        <v>14430</v>
      </c>
      <c r="F29" s="76"/>
      <c r="I29" s="55"/>
      <c r="J29" s="55"/>
    </row>
    <row r="30" spans="1:10" ht="24.95" customHeight="1" x14ac:dyDescent="0.2">
      <c r="A30" s="206"/>
      <c r="B30" s="207" t="s">
        <v>83</v>
      </c>
      <c r="C30" s="207"/>
      <c r="D30" s="207"/>
      <c r="E30" s="62">
        <v>400</v>
      </c>
      <c r="F30" s="69"/>
    </row>
    <row r="31" spans="1:10" ht="24.95" customHeight="1" x14ac:dyDescent="0.2">
      <c r="A31" s="206"/>
      <c r="B31" s="207" t="s">
        <v>57</v>
      </c>
      <c r="C31" s="207"/>
      <c r="D31" s="207"/>
      <c r="E31" s="62">
        <v>200</v>
      </c>
    </row>
    <row r="32" spans="1:10" ht="24.95" customHeight="1" x14ac:dyDescent="0.2">
      <c r="A32" s="206"/>
      <c r="B32" s="207" t="s">
        <v>20</v>
      </c>
      <c r="C32" s="207"/>
      <c r="D32" s="207"/>
      <c r="E32" s="62">
        <f>SUM(E28:E31)</f>
        <v>29496.666666666664</v>
      </c>
    </row>
    <row r="33" spans="1:10" ht="24.95" customHeight="1" x14ac:dyDescent="0.2">
      <c r="A33" s="206"/>
      <c r="B33" s="207" t="s">
        <v>21</v>
      </c>
      <c r="C33" s="207"/>
      <c r="D33" s="207"/>
      <c r="E33" s="62">
        <f>E32*0.2</f>
        <v>5899.333333333333</v>
      </c>
    </row>
    <row r="34" spans="1:10" ht="24.95" customHeight="1" x14ac:dyDescent="0.2">
      <c r="A34" s="64" t="s">
        <v>26</v>
      </c>
      <c r="B34" s="202"/>
      <c r="C34" s="202"/>
      <c r="D34" s="202"/>
      <c r="E34" s="65">
        <f>SUM(E32:E33)</f>
        <v>35396</v>
      </c>
    </row>
    <row r="35" spans="1:10" ht="24.95" customHeight="1" x14ac:dyDescent="0.2">
      <c r="A35" s="33"/>
      <c r="B35" s="34"/>
      <c r="C35" s="34"/>
      <c r="D35" s="34"/>
      <c r="E35" s="35"/>
    </row>
    <row r="36" spans="1:10" ht="24" customHeight="1" x14ac:dyDescent="0.2">
      <c r="A36" s="205" t="s">
        <v>82</v>
      </c>
      <c r="B36" s="205"/>
      <c r="C36" s="205"/>
      <c r="D36" s="205"/>
      <c r="E36" s="205"/>
    </row>
    <row r="37" spans="1:10" ht="24.95" customHeight="1" x14ac:dyDescent="0.2">
      <c r="A37" s="95" t="s">
        <v>9</v>
      </c>
      <c r="B37" s="95" t="s">
        <v>10</v>
      </c>
      <c r="C37" s="95" t="s">
        <v>11</v>
      </c>
      <c r="D37" s="95" t="s">
        <v>12</v>
      </c>
      <c r="E37" s="95" t="s">
        <v>13</v>
      </c>
    </row>
    <row r="38" spans="1:10" ht="24.95" customHeight="1" x14ac:dyDescent="0.2">
      <c r="A38" s="96" t="s">
        <v>23</v>
      </c>
      <c r="B38" s="95" t="s">
        <v>17</v>
      </c>
      <c r="C38" s="60">
        <v>252</v>
      </c>
      <c r="D38" s="61">
        <f>C71</f>
        <v>10.185185185185185</v>
      </c>
      <c r="E38" s="62">
        <f>C38*D38</f>
        <v>2566.6666666666665</v>
      </c>
    </row>
    <row r="39" spans="1:10" ht="24.95" customHeight="1" x14ac:dyDescent="0.2">
      <c r="A39" s="96" t="s">
        <v>24</v>
      </c>
      <c r="B39" s="95" t="s">
        <v>17</v>
      </c>
      <c r="C39" s="60">
        <v>30</v>
      </c>
      <c r="D39" s="61">
        <f>C68</f>
        <v>20.37037037037037</v>
      </c>
      <c r="E39" s="62">
        <f>C39*D39</f>
        <v>611.11111111111109</v>
      </c>
      <c r="F39" s="72"/>
    </row>
    <row r="40" spans="1:10" ht="24.95" customHeight="1" x14ac:dyDescent="0.2">
      <c r="A40" s="96" t="s">
        <v>25</v>
      </c>
      <c r="B40" s="95"/>
      <c r="C40" s="68"/>
      <c r="D40" s="68"/>
      <c r="E40" s="62">
        <f>SUM(E38:E39)</f>
        <v>3177.7777777777774</v>
      </c>
    </row>
    <row r="41" spans="1:10" ht="24.95" customHeight="1" x14ac:dyDescent="0.2">
      <c r="A41" s="206" t="s">
        <v>86</v>
      </c>
      <c r="B41" s="207" t="s">
        <v>79</v>
      </c>
      <c r="C41" s="207"/>
      <c r="D41" s="207"/>
      <c r="E41" s="62">
        <f>3*(E38+E39)</f>
        <v>9533.3333333333321</v>
      </c>
    </row>
    <row r="42" spans="1:10" ht="24.95" customHeight="1" x14ac:dyDescent="0.2">
      <c r="A42" s="206"/>
      <c r="B42" s="207" t="s">
        <v>87</v>
      </c>
      <c r="C42" s="207"/>
      <c r="D42" s="207"/>
      <c r="E42" s="62">
        <f>H42*H45</f>
        <v>3036.2850528905283</v>
      </c>
      <c r="F42" s="87"/>
      <c r="G42" s="107" t="s">
        <v>94</v>
      </c>
      <c r="H42" s="108">
        <v>17262.236000000001</v>
      </c>
      <c r="I42" s="55"/>
      <c r="J42" s="55"/>
    </row>
    <row r="43" spans="1:10" ht="24.95" customHeight="1" x14ac:dyDescent="0.2">
      <c r="A43" s="206"/>
      <c r="B43" s="207" t="s">
        <v>20</v>
      </c>
      <c r="C43" s="207"/>
      <c r="D43" s="207"/>
      <c r="E43" s="62">
        <f>SUM(E41:E42)</f>
        <v>12569.618386223861</v>
      </c>
      <c r="G43" s="107" t="s">
        <v>18</v>
      </c>
      <c r="H43" s="108">
        <f>E41</f>
        <v>9533.3333333333321</v>
      </c>
    </row>
    <row r="44" spans="1:10" ht="24.95" customHeight="1" x14ac:dyDescent="0.2">
      <c r="A44" s="206"/>
      <c r="B44" s="207" t="s">
        <v>21</v>
      </c>
      <c r="C44" s="207"/>
      <c r="D44" s="207"/>
      <c r="E44" s="62">
        <f>E43*0.2</f>
        <v>2513.9236772447725</v>
      </c>
      <c r="G44" s="107" t="s">
        <v>91</v>
      </c>
      <c r="H44" s="108">
        <f>H21</f>
        <v>54200.000000000007</v>
      </c>
    </row>
    <row r="45" spans="1:10" ht="24.95" customHeight="1" x14ac:dyDescent="0.2">
      <c r="A45" s="64" t="s">
        <v>39</v>
      </c>
      <c r="B45" s="202"/>
      <c r="C45" s="202"/>
      <c r="D45" s="202"/>
      <c r="E45" s="65">
        <f>SUM(E43:E44)</f>
        <v>15083.542063468634</v>
      </c>
      <c r="G45" s="107" t="s">
        <v>92</v>
      </c>
      <c r="H45" s="109">
        <f>H43/H44</f>
        <v>0.17589175891758912</v>
      </c>
    </row>
    <row r="46" spans="1:10" ht="24.95" customHeight="1" x14ac:dyDescent="0.2">
      <c r="A46" s="80"/>
      <c r="B46" s="81"/>
      <c r="C46" s="81"/>
      <c r="D46" s="81"/>
      <c r="E46" s="82"/>
      <c r="G46" s="107"/>
      <c r="H46" s="109"/>
    </row>
    <row r="47" spans="1:10" ht="33.75" customHeight="1" x14ac:dyDescent="0.2">
      <c r="A47" s="205" t="s">
        <v>97</v>
      </c>
      <c r="B47" s="205"/>
      <c r="C47" s="205"/>
      <c r="D47" s="205"/>
      <c r="E47" s="205"/>
      <c r="F47" s="42"/>
    </row>
    <row r="48" spans="1:10" ht="24.95" customHeight="1" x14ac:dyDescent="0.2">
      <c r="A48" s="98" t="s">
        <v>9</v>
      </c>
      <c r="B48" s="98" t="s">
        <v>10</v>
      </c>
      <c r="C48" s="98" t="s">
        <v>11</v>
      </c>
      <c r="D48" s="98" t="s">
        <v>12</v>
      </c>
      <c r="E48" s="98" t="s">
        <v>13</v>
      </c>
      <c r="F48" s="42"/>
    </row>
    <row r="49" spans="1:10" ht="66.75" customHeight="1" x14ac:dyDescent="0.2">
      <c r="A49" s="57" t="s">
        <v>98</v>
      </c>
      <c r="B49" s="98"/>
      <c r="C49" s="60"/>
      <c r="D49" s="61"/>
      <c r="E49" s="62"/>
      <c r="F49" s="42"/>
    </row>
    <row r="50" spans="1:10" ht="19.899999999999999" customHeight="1" x14ac:dyDescent="0.2">
      <c r="A50" s="59" t="s">
        <v>49</v>
      </c>
      <c r="B50" s="98" t="s">
        <v>17</v>
      </c>
      <c r="C50" s="60">
        <v>120</v>
      </c>
      <c r="D50" s="61">
        <f>$C$68</f>
        <v>20.37037037037037</v>
      </c>
      <c r="E50" s="62">
        <f>C50*D50</f>
        <v>2444.4444444444443</v>
      </c>
      <c r="F50" s="88"/>
      <c r="I50" s="55"/>
      <c r="J50" s="55"/>
    </row>
    <row r="51" spans="1:10" ht="21.75" customHeight="1" x14ac:dyDescent="0.2">
      <c r="A51" s="59" t="s">
        <v>50</v>
      </c>
      <c r="B51" s="98" t="s">
        <v>17</v>
      </c>
      <c r="C51" s="60"/>
      <c r="D51" s="61">
        <f>$C$69</f>
        <v>16.666666666666664</v>
      </c>
      <c r="E51" s="62">
        <f>C51*D51</f>
        <v>0</v>
      </c>
      <c r="F51" s="72"/>
    </row>
    <row r="52" spans="1:10" ht="24.95" customHeight="1" x14ac:dyDescent="0.2">
      <c r="A52" s="206" t="s">
        <v>86</v>
      </c>
      <c r="B52" s="207" t="s">
        <v>18</v>
      </c>
      <c r="C52" s="207"/>
      <c r="D52" s="207"/>
      <c r="E52" s="62">
        <f>SUM(E50:E51)</f>
        <v>2444.4444444444443</v>
      </c>
      <c r="F52" s="102"/>
    </row>
    <row r="53" spans="1:10" ht="24.95" customHeight="1" x14ac:dyDescent="0.2">
      <c r="A53" s="206"/>
      <c r="B53" s="207" t="s">
        <v>87</v>
      </c>
      <c r="C53" s="207"/>
      <c r="D53" s="207"/>
      <c r="E53" s="62">
        <f>H54*H57</f>
        <v>778.53462894628933</v>
      </c>
      <c r="F53" s="102"/>
      <c r="I53" s="55"/>
      <c r="J53" s="55"/>
    </row>
    <row r="54" spans="1:10" ht="24.95" customHeight="1" x14ac:dyDescent="0.2">
      <c r="A54" s="206"/>
      <c r="B54" s="207" t="s">
        <v>20</v>
      </c>
      <c r="C54" s="207"/>
      <c r="D54" s="207"/>
      <c r="E54" s="62">
        <f>SUM(E52:E53)</f>
        <v>3222.9790733907339</v>
      </c>
      <c r="F54" s="42"/>
      <c r="G54" s="107" t="s">
        <v>93</v>
      </c>
      <c r="H54" s="108">
        <v>17262.236000000001</v>
      </c>
    </row>
    <row r="55" spans="1:10" ht="24.95" customHeight="1" x14ac:dyDescent="0.2">
      <c r="A55" s="206"/>
      <c r="B55" s="207" t="s">
        <v>21</v>
      </c>
      <c r="C55" s="207"/>
      <c r="D55" s="207"/>
      <c r="E55" s="62">
        <f>E54*0.2</f>
        <v>644.59581467814678</v>
      </c>
      <c r="F55" s="42"/>
      <c r="G55" s="107" t="s">
        <v>18</v>
      </c>
      <c r="H55" s="108">
        <f>E52</f>
        <v>2444.4444444444443</v>
      </c>
    </row>
    <row r="56" spans="1:10" ht="24.95" customHeight="1" x14ac:dyDescent="0.2">
      <c r="A56" s="64" t="s">
        <v>59</v>
      </c>
      <c r="B56" s="202"/>
      <c r="C56" s="202"/>
      <c r="D56" s="202"/>
      <c r="E56" s="65">
        <f>SUM(E54:E55)</f>
        <v>3867.5748880688807</v>
      </c>
      <c r="F56" s="42"/>
      <c r="G56" s="107" t="s">
        <v>91</v>
      </c>
      <c r="H56" s="108">
        <f>H21</f>
        <v>54200.000000000007</v>
      </c>
      <c r="I56" s="91"/>
    </row>
    <row r="57" spans="1:10" ht="24.95" customHeight="1" x14ac:dyDescent="0.2">
      <c r="A57" s="208" t="s">
        <v>101</v>
      </c>
      <c r="B57" s="208"/>
      <c r="C57" s="208"/>
      <c r="D57" s="208"/>
      <c r="E57" s="65">
        <f>E22+E45+E56+E34</f>
        <v>122830.6832</v>
      </c>
      <c r="F57" s="69"/>
      <c r="G57" s="107" t="s">
        <v>92</v>
      </c>
      <c r="H57" s="109">
        <f>H55/H56</f>
        <v>4.5100451004510038E-2</v>
      </c>
    </row>
    <row r="58" spans="1:10" x14ac:dyDescent="0.2">
      <c r="A58" s="12"/>
      <c r="E58" s="111">
        <f>E57/'2023_NRSC'!E34</f>
        <v>1.8538237277025322</v>
      </c>
    </row>
    <row r="59" spans="1:10" x14ac:dyDescent="0.2">
      <c r="A59" s="12"/>
      <c r="E59" s="104">
        <f>E57-E34</f>
        <v>87434.683199999999</v>
      </c>
    </row>
    <row r="60" spans="1:10" x14ac:dyDescent="0.2">
      <c r="A60" s="12"/>
    </row>
    <row r="61" spans="1:10" x14ac:dyDescent="0.2">
      <c r="A61" s="12"/>
      <c r="E61" s="31"/>
    </row>
    <row r="62" spans="1:10" x14ac:dyDescent="0.2">
      <c r="A62" s="12"/>
    </row>
    <row r="63" spans="1:10" x14ac:dyDescent="0.2">
      <c r="A63" s="12"/>
    </row>
    <row r="64" spans="1:10" x14ac:dyDescent="0.2">
      <c r="A64" s="12"/>
    </row>
    <row r="65" spans="1:5" x14ac:dyDescent="0.2">
      <c r="A65" s="12"/>
    </row>
    <row r="66" spans="1:5" ht="13.5" thickBot="1" x14ac:dyDescent="0.25">
      <c r="A66" s="12"/>
      <c r="B66" s="54"/>
      <c r="D66" s="43"/>
    </row>
    <row r="67" spans="1:5" ht="64.5" customHeight="1" thickBot="1" x14ac:dyDescent="0.25">
      <c r="A67" s="2" t="s">
        <v>0</v>
      </c>
      <c r="B67" s="2" t="s">
        <v>1</v>
      </c>
      <c r="C67" s="3" t="s">
        <v>2</v>
      </c>
      <c r="D67" s="44" t="s">
        <v>77</v>
      </c>
      <c r="E67" s="16"/>
    </row>
    <row r="68" spans="1:5" ht="14.25" customHeight="1" thickBot="1" x14ac:dyDescent="0.25">
      <c r="A68" s="21" t="s">
        <v>49</v>
      </c>
      <c r="B68" s="25">
        <v>440</v>
      </c>
      <c r="C68" s="6">
        <f>B68/21.6</f>
        <v>20.37037037037037</v>
      </c>
      <c r="D68" s="45">
        <v>320</v>
      </c>
      <c r="E68" s="14"/>
    </row>
    <row r="69" spans="1:5" ht="13.5" thickBot="1" x14ac:dyDescent="0.25">
      <c r="A69" s="21" t="s">
        <v>50</v>
      </c>
      <c r="B69" s="25">
        <v>360</v>
      </c>
      <c r="C69" s="6">
        <f>B69/21.6</f>
        <v>16.666666666666664</v>
      </c>
      <c r="D69" s="45">
        <v>290</v>
      </c>
      <c r="E69" s="14"/>
    </row>
    <row r="70" spans="1:5" ht="13.5" thickBot="1" x14ac:dyDescent="0.25">
      <c r="A70" s="21" t="s">
        <v>51</v>
      </c>
      <c r="B70" s="25">
        <v>290</v>
      </c>
      <c r="C70" s="6">
        <f>B70/21.6</f>
        <v>13.425925925925926</v>
      </c>
      <c r="D70" s="45">
        <v>240</v>
      </c>
      <c r="E70" s="14"/>
    </row>
    <row r="71" spans="1:5" ht="13.5" thickBot="1" x14ac:dyDescent="0.25">
      <c r="A71" s="21" t="s">
        <v>52</v>
      </c>
      <c r="B71" s="25">
        <v>220</v>
      </c>
      <c r="C71" s="6">
        <f>B71/21.6</f>
        <v>10.185185185185185</v>
      </c>
      <c r="D71" s="45">
        <v>170</v>
      </c>
      <c r="E71" s="14"/>
    </row>
    <row r="72" spans="1:5" x14ac:dyDescent="0.2">
      <c r="A72" s="39"/>
      <c r="B72" s="16"/>
      <c r="C72" s="16"/>
      <c r="D72" s="44"/>
      <c r="E72" s="16"/>
    </row>
    <row r="75" spans="1:5" x14ac:dyDescent="0.2">
      <c r="A75" s="55"/>
      <c r="B75" s="54"/>
      <c r="C75" s="54"/>
      <c r="D75" s="54"/>
    </row>
    <row r="76" spans="1:5" x14ac:dyDescent="0.2">
      <c r="A76" s="55"/>
      <c r="B76" s="54"/>
      <c r="C76" s="54"/>
      <c r="D76" s="54"/>
    </row>
    <row r="77" spans="1:5" x14ac:dyDescent="0.2">
      <c r="A77" s="55"/>
      <c r="B77" s="54"/>
      <c r="C77" s="54"/>
      <c r="D77" s="54"/>
    </row>
    <row r="78" spans="1:5" x14ac:dyDescent="0.2">
      <c r="A78" s="55"/>
      <c r="B78" s="54"/>
      <c r="C78" s="54"/>
      <c r="D78" s="54"/>
    </row>
    <row r="79" spans="1:5" x14ac:dyDescent="0.2">
      <c r="A79" s="55"/>
      <c r="B79" s="54"/>
      <c r="C79" s="54"/>
      <c r="D79" s="54"/>
    </row>
    <row r="80" spans="1:5" x14ac:dyDescent="0.2">
      <c r="A80" s="55"/>
      <c r="B80" s="54"/>
      <c r="C80" s="54"/>
      <c r="D80" s="54"/>
    </row>
    <row r="81" spans="1:4" x14ac:dyDescent="0.2">
      <c r="A81" s="55"/>
      <c r="B81" s="54"/>
      <c r="C81" s="54"/>
      <c r="D81" s="54"/>
    </row>
    <row r="82" spans="1:4" x14ac:dyDescent="0.2">
      <c r="A82" s="55"/>
      <c r="B82" s="54"/>
      <c r="C82" s="54"/>
      <c r="D82" s="54"/>
    </row>
    <row r="83" spans="1:4" x14ac:dyDescent="0.2">
      <c r="A83" s="55"/>
      <c r="B83" s="54"/>
      <c r="C83" s="54"/>
      <c r="D83" s="54"/>
    </row>
    <row r="84" spans="1:4" x14ac:dyDescent="0.2">
      <c r="A84" s="55"/>
      <c r="B84" s="54"/>
      <c r="C84" s="54"/>
      <c r="D84" s="54"/>
    </row>
    <row r="85" spans="1:4" x14ac:dyDescent="0.2">
      <c r="A85" s="55"/>
      <c r="B85" s="54"/>
      <c r="C85" s="54"/>
      <c r="D85" s="54"/>
    </row>
    <row r="86" spans="1:4" x14ac:dyDescent="0.2">
      <c r="A86" s="55"/>
      <c r="B86" s="54"/>
      <c r="C86" s="54"/>
      <c r="D86" s="54"/>
    </row>
    <row r="87" spans="1:4" x14ac:dyDescent="0.2">
      <c r="A87" s="55"/>
      <c r="B87" s="54"/>
      <c r="C87" s="54"/>
      <c r="D87" s="54"/>
    </row>
    <row r="88" spans="1:4" x14ac:dyDescent="0.2">
      <c r="A88" s="55"/>
      <c r="B88" s="54"/>
      <c r="C88" s="54"/>
      <c r="D88" s="54"/>
    </row>
    <row r="89" spans="1:4" x14ac:dyDescent="0.2">
      <c r="A89" s="55"/>
      <c r="B89" s="54"/>
      <c r="C89" s="54"/>
      <c r="D89" s="54"/>
    </row>
    <row r="90" spans="1:4" x14ac:dyDescent="0.2">
      <c r="A90" s="55"/>
      <c r="B90" s="54"/>
      <c r="C90" s="54"/>
      <c r="D90" s="54"/>
    </row>
    <row r="91" spans="1:4" x14ac:dyDescent="0.2">
      <c r="A91" s="55"/>
      <c r="B91" s="54"/>
      <c r="C91" s="54"/>
      <c r="D91" s="54"/>
    </row>
    <row r="92" spans="1:4" x14ac:dyDescent="0.2">
      <c r="A92" s="55"/>
      <c r="B92" s="54"/>
      <c r="C92" s="54"/>
      <c r="D92" s="54"/>
    </row>
  </sheetData>
  <mergeCells count="34">
    <mergeCell ref="A1:F1"/>
    <mergeCell ref="A2:E2"/>
    <mergeCell ref="A16:A21"/>
    <mergeCell ref="B16:D16"/>
    <mergeCell ref="B17:D17"/>
    <mergeCell ref="B18:D18"/>
    <mergeCell ref="B19:D19"/>
    <mergeCell ref="B20:D20"/>
    <mergeCell ref="B21:D21"/>
    <mergeCell ref="B22:D22"/>
    <mergeCell ref="A24:E24"/>
    <mergeCell ref="A28:A33"/>
    <mergeCell ref="B28:D28"/>
    <mergeCell ref="B29:D29"/>
    <mergeCell ref="B30:D30"/>
    <mergeCell ref="B31:D31"/>
    <mergeCell ref="B32:D32"/>
    <mergeCell ref="B33:D33"/>
    <mergeCell ref="B34:D34"/>
    <mergeCell ref="A36:E36"/>
    <mergeCell ref="A41:A44"/>
    <mergeCell ref="B41:D41"/>
    <mergeCell ref="B42:D42"/>
    <mergeCell ref="B43:D43"/>
    <mergeCell ref="B44:D44"/>
    <mergeCell ref="B56:D56"/>
    <mergeCell ref="A57:D57"/>
    <mergeCell ref="B45:D45"/>
    <mergeCell ref="A47:E47"/>
    <mergeCell ref="A52:A55"/>
    <mergeCell ref="B52:D52"/>
    <mergeCell ref="B53:D53"/>
    <mergeCell ref="B54:D54"/>
    <mergeCell ref="B55:D55"/>
  </mergeCells>
  <pageMargins left="0" right="0" top="0" bottom="0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92"/>
  <sheetViews>
    <sheetView topLeftCell="A46" workbookViewId="0">
      <selection activeCell="B70" sqref="B70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55" bestFit="1" customWidth="1"/>
    <col min="7" max="7" width="21.140625" style="105" customWidth="1"/>
    <col min="8" max="8" width="13.85546875" style="105" customWidth="1"/>
    <col min="9" max="10" width="9.140625" style="18"/>
    <col min="11" max="16384" width="9.140625" style="1"/>
  </cols>
  <sheetData>
    <row r="1" spans="1:10" x14ac:dyDescent="0.2">
      <c r="A1" s="201" t="s">
        <v>100</v>
      </c>
      <c r="B1" s="201"/>
      <c r="C1" s="201"/>
      <c r="D1" s="201"/>
      <c r="E1" s="201"/>
      <c r="F1" s="201"/>
    </row>
    <row r="2" spans="1:10" ht="20.100000000000001" customHeight="1" x14ac:dyDescent="0.2">
      <c r="A2" s="205" t="s">
        <v>8</v>
      </c>
      <c r="B2" s="205"/>
      <c r="C2" s="205"/>
      <c r="D2" s="205"/>
      <c r="E2" s="205"/>
    </row>
    <row r="3" spans="1:10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10" ht="30" customHeight="1" x14ac:dyDescent="0.2">
      <c r="A4" s="57" t="s">
        <v>85</v>
      </c>
      <c r="B4" s="58"/>
      <c r="C4" s="58"/>
      <c r="D4" s="58"/>
      <c r="E4" s="58"/>
    </row>
    <row r="5" spans="1:10" ht="19.899999999999999" customHeight="1" x14ac:dyDescent="0.2">
      <c r="A5" s="59" t="s">
        <v>49</v>
      </c>
      <c r="B5" s="100" t="s">
        <v>17</v>
      </c>
      <c r="C5" s="60">
        <v>390</v>
      </c>
      <c r="D5" s="61">
        <f>$C$68</f>
        <v>20.833333333333332</v>
      </c>
      <c r="E5" s="62">
        <f>C5*D5</f>
        <v>8124.9999999999991</v>
      </c>
      <c r="F5" s="76"/>
      <c r="I5" s="55"/>
      <c r="J5" s="55"/>
    </row>
    <row r="6" spans="1:10" ht="19.899999999999999" customHeight="1" x14ac:dyDescent="0.2">
      <c r="A6" s="59" t="s">
        <v>50</v>
      </c>
      <c r="B6" s="100" t="s">
        <v>17</v>
      </c>
      <c r="C6" s="60">
        <v>185</v>
      </c>
      <c r="D6" s="61">
        <f>$C$69</f>
        <v>17.12962962962963</v>
      </c>
      <c r="E6" s="62">
        <f>C6*D6</f>
        <v>3168.9814814814813</v>
      </c>
      <c r="F6" s="72"/>
    </row>
    <row r="7" spans="1:10" ht="30" customHeight="1" x14ac:dyDescent="0.2">
      <c r="A7" s="57" t="s">
        <v>15</v>
      </c>
      <c r="B7" s="100"/>
      <c r="C7" s="60"/>
      <c r="D7" s="61"/>
      <c r="E7" s="62"/>
    </row>
    <row r="8" spans="1:10" ht="19.899999999999999" customHeight="1" x14ac:dyDescent="0.2">
      <c r="A8" s="59" t="s">
        <v>49</v>
      </c>
      <c r="B8" s="100" t="s">
        <v>17</v>
      </c>
      <c r="C8" s="60">
        <v>440</v>
      </c>
      <c r="D8" s="61">
        <f>$C$68</f>
        <v>20.833333333333332</v>
      </c>
      <c r="E8" s="62">
        <f>C8*D8</f>
        <v>9166.6666666666661</v>
      </c>
    </row>
    <row r="9" spans="1:10" ht="19.899999999999999" customHeight="1" x14ac:dyDescent="0.2">
      <c r="A9" s="59" t="s">
        <v>50</v>
      </c>
      <c r="B9" s="100" t="s">
        <v>17</v>
      </c>
      <c r="C9" s="60">
        <v>315</v>
      </c>
      <c r="D9" s="61">
        <f>$C$69</f>
        <v>17.12962962962963</v>
      </c>
      <c r="E9" s="62">
        <f>C9*D9</f>
        <v>5395.833333333333</v>
      </c>
      <c r="F9" s="72"/>
    </row>
    <row r="10" spans="1:10" ht="50.1" customHeight="1" x14ac:dyDescent="0.2">
      <c r="A10" s="57" t="s">
        <v>16</v>
      </c>
      <c r="B10" s="100"/>
      <c r="C10" s="60"/>
      <c r="D10" s="61"/>
      <c r="E10" s="62"/>
    </row>
    <row r="11" spans="1:10" ht="19.899999999999999" customHeight="1" x14ac:dyDescent="0.2">
      <c r="A11" s="59" t="s">
        <v>49</v>
      </c>
      <c r="B11" s="100" t="s">
        <v>17</v>
      </c>
      <c r="C11" s="60">
        <v>285</v>
      </c>
      <c r="D11" s="61">
        <f>$C$68</f>
        <v>20.833333333333332</v>
      </c>
      <c r="E11" s="62">
        <f>C11*D11</f>
        <v>5937.5</v>
      </c>
    </row>
    <row r="12" spans="1:10" ht="19.899999999999999" customHeight="1" x14ac:dyDescent="0.2">
      <c r="A12" s="59" t="s">
        <v>50</v>
      </c>
      <c r="B12" s="100" t="s">
        <v>17</v>
      </c>
      <c r="C12" s="60">
        <v>295</v>
      </c>
      <c r="D12" s="61">
        <f>$C$69</f>
        <v>17.12962962962963</v>
      </c>
      <c r="E12" s="62">
        <f>C12*D12</f>
        <v>5053.2407407407409</v>
      </c>
      <c r="F12" s="72"/>
    </row>
    <row r="13" spans="1:10" ht="41.45" customHeight="1" x14ac:dyDescent="0.2">
      <c r="A13" s="57" t="s">
        <v>40</v>
      </c>
      <c r="B13" s="100"/>
      <c r="C13" s="60"/>
      <c r="D13" s="61"/>
      <c r="E13" s="62"/>
    </row>
    <row r="14" spans="1:10" ht="19.899999999999999" customHeight="1" x14ac:dyDescent="0.2">
      <c r="A14" s="59" t="s">
        <v>49</v>
      </c>
      <c r="B14" s="100" t="s">
        <v>17</v>
      </c>
      <c r="C14" s="60">
        <v>205</v>
      </c>
      <c r="D14" s="61">
        <f>$C$68</f>
        <v>20.833333333333332</v>
      </c>
      <c r="E14" s="62">
        <f>C14*D14</f>
        <v>4270.833333333333</v>
      </c>
    </row>
    <row r="15" spans="1:10" ht="19.899999999999999" customHeight="1" x14ac:dyDescent="0.2">
      <c r="A15" s="59" t="s">
        <v>50</v>
      </c>
      <c r="B15" s="100" t="s">
        <v>17</v>
      </c>
      <c r="C15" s="60">
        <v>125</v>
      </c>
      <c r="D15" s="61">
        <f>$C$69</f>
        <v>17.12962962962963</v>
      </c>
      <c r="E15" s="62">
        <f>C15*D15</f>
        <v>2141.2037037037039</v>
      </c>
      <c r="F15" s="72"/>
    </row>
    <row r="16" spans="1:10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43259.259259259255</v>
      </c>
    </row>
    <row r="17" spans="1:10" ht="24.95" customHeight="1" x14ac:dyDescent="0.2">
      <c r="A17" s="206"/>
      <c r="B17" s="207" t="s">
        <v>87</v>
      </c>
      <c r="C17" s="207"/>
      <c r="D17" s="207"/>
      <c r="E17" s="62">
        <f>H19*H22</f>
        <v>13410.460199205174</v>
      </c>
      <c r="F17" s="76"/>
      <c r="I17" s="55"/>
      <c r="J17" s="55"/>
    </row>
    <row r="18" spans="1:10" ht="24.95" customHeight="1" x14ac:dyDescent="0.2">
      <c r="A18" s="206"/>
      <c r="B18" s="207" t="s">
        <v>83</v>
      </c>
      <c r="C18" s="207"/>
      <c r="D18" s="207"/>
      <c r="E18" s="62">
        <v>800</v>
      </c>
      <c r="G18" s="106"/>
    </row>
    <row r="19" spans="1:10" ht="24.95" customHeight="1" x14ac:dyDescent="0.2">
      <c r="A19" s="206"/>
      <c r="B19" s="207" t="s">
        <v>57</v>
      </c>
      <c r="C19" s="207"/>
      <c r="D19" s="207"/>
      <c r="E19" s="62">
        <v>600</v>
      </c>
      <c r="G19" s="107" t="s">
        <v>94</v>
      </c>
      <c r="H19" s="108">
        <v>17262.236000000001</v>
      </c>
    </row>
    <row r="20" spans="1:10" ht="24.95" customHeight="1" x14ac:dyDescent="0.2">
      <c r="A20" s="206"/>
      <c r="B20" s="207" t="s">
        <v>20</v>
      </c>
      <c r="C20" s="207"/>
      <c r="D20" s="207"/>
      <c r="E20" s="62">
        <f>SUM(E16:E17)+E18+E19</f>
        <v>58069.719458464431</v>
      </c>
      <c r="G20" s="107" t="s">
        <v>18</v>
      </c>
      <c r="H20" s="108">
        <f>E16</f>
        <v>43259.259259259255</v>
      </c>
    </row>
    <row r="21" spans="1:10" ht="24.95" customHeight="1" x14ac:dyDescent="0.2">
      <c r="A21" s="206"/>
      <c r="B21" s="207" t="s">
        <v>21</v>
      </c>
      <c r="C21" s="207"/>
      <c r="D21" s="207"/>
      <c r="E21" s="62">
        <f>E20*0.2</f>
        <v>11613.943891692887</v>
      </c>
      <c r="F21" s="72"/>
      <c r="G21" s="107" t="s">
        <v>91</v>
      </c>
      <c r="H21" s="108">
        <f>E16+E41+E52</f>
        <v>55684.259259259255</v>
      </c>
    </row>
    <row r="22" spans="1:10" ht="24.95" customHeight="1" x14ac:dyDescent="0.2">
      <c r="A22" s="103" t="s">
        <v>22</v>
      </c>
      <c r="B22" s="202"/>
      <c r="C22" s="202"/>
      <c r="D22" s="202"/>
      <c r="E22" s="65">
        <f>SUM(E20:E21)</f>
        <v>69683.663350157323</v>
      </c>
      <c r="G22" s="107" t="s">
        <v>92</v>
      </c>
      <c r="H22" s="109">
        <f>H20/H21</f>
        <v>0.77686692495718246</v>
      </c>
    </row>
    <row r="23" spans="1:10" x14ac:dyDescent="0.2">
      <c r="A23" s="8"/>
      <c r="B23" s="9"/>
      <c r="C23" s="9"/>
      <c r="D23" s="9"/>
      <c r="E23" s="9"/>
    </row>
    <row r="24" spans="1:10" ht="28.15" customHeight="1" x14ac:dyDescent="0.2">
      <c r="A24" s="205" t="s">
        <v>96</v>
      </c>
      <c r="B24" s="205"/>
      <c r="C24" s="205"/>
      <c r="D24" s="205"/>
      <c r="E24" s="205"/>
    </row>
    <row r="25" spans="1:10" ht="24.95" customHeight="1" x14ac:dyDescent="0.2">
      <c r="A25" s="100" t="s">
        <v>9</v>
      </c>
      <c r="B25" s="100" t="s">
        <v>10</v>
      </c>
      <c r="C25" s="100" t="s">
        <v>11</v>
      </c>
      <c r="D25" s="100" t="s">
        <v>12</v>
      </c>
      <c r="E25" s="100" t="s">
        <v>13</v>
      </c>
    </row>
    <row r="26" spans="1:10" ht="24.95" customHeight="1" x14ac:dyDescent="0.2">
      <c r="A26" s="101" t="s">
        <v>49</v>
      </c>
      <c r="B26" s="100" t="s">
        <v>17</v>
      </c>
      <c r="C26" s="60">
        <v>504</v>
      </c>
      <c r="D26" s="61">
        <f>C68</f>
        <v>20.833333333333332</v>
      </c>
      <c r="E26" s="62">
        <f>C26*D26</f>
        <v>10500</v>
      </c>
      <c r="F26" s="76"/>
      <c r="I26" s="55"/>
      <c r="J26" s="55"/>
    </row>
    <row r="27" spans="1:10" ht="24.95" customHeight="1" x14ac:dyDescent="0.2">
      <c r="A27" s="101" t="s">
        <v>50</v>
      </c>
      <c r="B27" s="100" t="s">
        <v>17</v>
      </c>
      <c r="C27" s="60">
        <v>252</v>
      </c>
      <c r="D27" s="61">
        <f>C69</f>
        <v>17.12962962962963</v>
      </c>
      <c r="E27" s="62">
        <f>C27*D27</f>
        <v>4316.666666666667</v>
      </c>
      <c r="F27" s="76"/>
      <c r="I27" s="55"/>
      <c r="J27" s="55"/>
    </row>
    <row r="28" spans="1:10" ht="24.95" customHeight="1" x14ac:dyDescent="0.2">
      <c r="A28" s="206" t="s">
        <v>86</v>
      </c>
      <c r="B28" s="207" t="s">
        <v>54</v>
      </c>
      <c r="C28" s="207"/>
      <c r="D28" s="207"/>
      <c r="E28" s="62">
        <f>E26+E27</f>
        <v>14816.666666666668</v>
      </c>
    </row>
    <row r="29" spans="1:10" ht="24.95" customHeight="1" x14ac:dyDescent="0.2">
      <c r="A29" s="206"/>
      <c r="B29" s="207" t="s">
        <v>87</v>
      </c>
      <c r="C29" s="207"/>
      <c r="D29" s="207"/>
      <c r="E29" s="62">
        <v>14430</v>
      </c>
      <c r="F29" s="76"/>
      <c r="I29" s="55"/>
      <c r="J29" s="55"/>
    </row>
    <row r="30" spans="1:10" ht="24.95" customHeight="1" x14ac:dyDescent="0.2">
      <c r="A30" s="206"/>
      <c r="B30" s="207" t="s">
        <v>83</v>
      </c>
      <c r="C30" s="207"/>
      <c r="D30" s="207"/>
      <c r="E30" s="62">
        <v>400</v>
      </c>
      <c r="F30" s="69"/>
    </row>
    <row r="31" spans="1:10" ht="24.95" customHeight="1" x14ac:dyDescent="0.2">
      <c r="A31" s="206"/>
      <c r="B31" s="207" t="s">
        <v>57</v>
      </c>
      <c r="C31" s="207"/>
      <c r="D31" s="207"/>
      <c r="E31" s="62">
        <v>200</v>
      </c>
    </row>
    <row r="32" spans="1:10" ht="24.95" customHeight="1" x14ac:dyDescent="0.2">
      <c r="A32" s="206"/>
      <c r="B32" s="207" t="s">
        <v>20</v>
      </c>
      <c r="C32" s="207"/>
      <c r="D32" s="207"/>
      <c r="E32" s="62">
        <f>SUM(E28:E31)</f>
        <v>29846.666666666668</v>
      </c>
    </row>
    <row r="33" spans="1:10" ht="24.95" customHeight="1" x14ac:dyDescent="0.2">
      <c r="A33" s="206"/>
      <c r="B33" s="207" t="s">
        <v>21</v>
      </c>
      <c r="C33" s="207"/>
      <c r="D33" s="207"/>
      <c r="E33" s="62">
        <f>E32*0.2</f>
        <v>5969.3333333333339</v>
      </c>
    </row>
    <row r="34" spans="1:10" ht="24.95" customHeight="1" x14ac:dyDescent="0.2">
      <c r="A34" s="103" t="s">
        <v>26</v>
      </c>
      <c r="B34" s="202"/>
      <c r="C34" s="202"/>
      <c r="D34" s="202"/>
      <c r="E34" s="65">
        <f>SUM(E32:E33)</f>
        <v>35816</v>
      </c>
    </row>
    <row r="35" spans="1:10" ht="24.95" customHeight="1" x14ac:dyDescent="0.2">
      <c r="A35" s="33"/>
      <c r="B35" s="34"/>
      <c r="C35" s="34"/>
      <c r="D35" s="34"/>
      <c r="E35" s="35"/>
    </row>
    <row r="36" spans="1:10" ht="24" customHeight="1" x14ac:dyDescent="0.2">
      <c r="A36" s="205" t="s">
        <v>82</v>
      </c>
      <c r="B36" s="205"/>
      <c r="C36" s="205"/>
      <c r="D36" s="205"/>
      <c r="E36" s="205"/>
    </row>
    <row r="37" spans="1:10" ht="24.95" customHeight="1" x14ac:dyDescent="0.2">
      <c r="A37" s="100" t="s">
        <v>9</v>
      </c>
      <c r="B37" s="100" t="s">
        <v>10</v>
      </c>
      <c r="C37" s="100" t="s">
        <v>11</v>
      </c>
      <c r="D37" s="100" t="s">
        <v>12</v>
      </c>
      <c r="E37" s="100" t="s">
        <v>13</v>
      </c>
    </row>
    <row r="38" spans="1:10" ht="24.95" customHeight="1" x14ac:dyDescent="0.2">
      <c r="A38" s="101" t="s">
        <v>23</v>
      </c>
      <c r="B38" s="100" t="s">
        <v>17</v>
      </c>
      <c r="C38" s="60">
        <v>252</v>
      </c>
      <c r="D38" s="61">
        <f>C71</f>
        <v>10.648148148148147</v>
      </c>
      <c r="E38" s="62">
        <f>C38*D38</f>
        <v>2683.333333333333</v>
      </c>
    </row>
    <row r="39" spans="1:10" ht="24.95" customHeight="1" x14ac:dyDescent="0.2">
      <c r="A39" s="101" t="s">
        <v>24</v>
      </c>
      <c r="B39" s="100" t="s">
        <v>17</v>
      </c>
      <c r="C39" s="60">
        <v>30</v>
      </c>
      <c r="D39" s="61">
        <f>C68</f>
        <v>20.833333333333332</v>
      </c>
      <c r="E39" s="62">
        <f>C39*D39</f>
        <v>625</v>
      </c>
      <c r="F39" s="72"/>
    </row>
    <row r="40" spans="1:10" ht="24.95" customHeight="1" x14ac:dyDescent="0.2">
      <c r="A40" s="101" t="s">
        <v>25</v>
      </c>
      <c r="B40" s="100"/>
      <c r="C40" s="68"/>
      <c r="D40" s="68"/>
      <c r="E40" s="62">
        <f>SUM(E38:E39)</f>
        <v>3308.333333333333</v>
      </c>
    </row>
    <row r="41" spans="1:10" ht="24.95" customHeight="1" x14ac:dyDescent="0.2">
      <c r="A41" s="206" t="s">
        <v>86</v>
      </c>
      <c r="B41" s="207" t="s">
        <v>79</v>
      </c>
      <c r="C41" s="207"/>
      <c r="D41" s="207"/>
      <c r="E41" s="62">
        <f>3*(E38+E39)</f>
        <v>9925</v>
      </c>
    </row>
    <row r="42" spans="1:10" ht="24.95" customHeight="1" x14ac:dyDescent="0.2">
      <c r="A42" s="206"/>
      <c r="B42" s="207" t="s">
        <v>87</v>
      </c>
      <c r="C42" s="207"/>
      <c r="D42" s="207"/>
      <c r="E42" s="62">
        <f>H42*H45</f>
        <v>3076.77060948802</v>
      </c>
      <c r="F42" s="87"/>
      <c r="G42" s="107" t="s">
        <v>94</v>
      </c>
      <c r="H42" s="108">
        <v>17262.236000000001</v>
      </c>
      <c r="I42" s="55"/>
      <c r="J42" s="55"/>
    </row>
    <row r="43" spans="1:10" ht="24.95" customHeight="1" x14ac:dyDescent="0.2">
      <c r="A43" s="206"/>
      <c r="B43" s="207" t="s">
        <v>20</v>
      </c>
      <c r="C43" s="207"/>
      <c r="D43" s="207"/>
      <c r="E43" s="62">
        <f>SUM(E41:E42)</f>
        <v>13001.77060948802</v>
      </c>
      <c r="G43" s="107" t="s">
        <v>18</v>
      </c>
      <c r="H43" s="108">
        <f>E41</f>
        <v>9925</v>
      </c>
    </row>
    <row r="44" spans="1:10" ht="24.95" customHeight="1" x14ac:dyDescent="0.2">
      <c r="A44" s="206"/>
      <c r="B44" s="207" t="s">
        <v>21</v>
      </c>
      <c r="C44" s="207"/>
      <c r="D44" s="207"/>
      <c r="E44" s="62">
        <f>E43*0.2</f>
        <v>2600.3541218976043</v>
      </c>
      <c r="G44" s="107" t="s">
        <v>91</v>
      </c>
      <c r="H44" s="108">
        <f>H21</f>
        <v>55684.259259259255</v>
      </c>
    </row>
    <row r="45" spans="1:10" ht="24.95" customHeight="1" x14ac:dyDescent="0.2">
      <c r="A45" s="103" t="s">
        <v>39</v>
      </c>
      <c r="B45" s="202"/>
      <c r="C45" s="202"/>
      <c r="D45" s="202"/>
      <c r="E45" s="65">
        <f>SUM(E43:E44)</f>
        <v>15602.124731385624</v>
      </c>
      <c r="G45" s="107" t="s">
        <v>92</v>
      </c>
      <c r="H45" s="109">
        <f>H43/H44</f>
        <v>0.17823708408852826</v>
      </c>
    </row>
    <row r="46" spans="1:10" ht="24.95" customHeight="1" x14ac:dyDescent="0.2">
      <c r="A46" s="80"/>
      <c r="B46" s="81"/>
      <c r="C46" s="81"/>
      <c r="D46" s="81"/>
      <c r="E46" s="82"/>
      <c r="G46" s="107"/>
      <c r="H46" s="109"/>
    </row>
    <row r="47" spans="1:10" ht="33.75" customHeight="1" x14ac:dyDescent="0.2">
      <c r="A47" s="205" t="s">
        <v>97</v>
      </c>
      <c r="B47" s="205"/>
      <c r="C47" s="205"/>
      <c r="D47" s="205"/>
      <c r="E47" s="205"/>
      <c r="F47" s="42"/>
    </row>
    <row r="48" spans="1:10" ht="24.95" customHeight="1" x14ac:dyDescent="0.2">
      <c r="A48" s="100" t="s">
        <v>9</v>
      </c>
      <c r="B48" s="100" t="s">
        <v>10</v>
      </c>
      <c r="C48" s="100" t="s">
        <v>11</v>
      </c>
      <c r="D48" s="100" t="s">
        <v>12</v>
      </c>
      <c r="E48" s="100" t="s">
        <v>13</v>
      </c>
      <c r="F48" s="42"/>
    </row>
    <row r="49" spans="1:10" ht="66.75" customHeight="1" x14ac:dyDescent="0.2">
      <c r="A49" s="57" t="s">
        <v>98</v>
      </c>
      <c r="B49" s="100"/>
      <c r="C49" s="60"/>
      <c r="D49" s="61"/>
      <c r="E49" s="62"/>
      <c r="F49" s="42"/>
    </row>
    <row r="50" spans="1:10" ht="19.899999999999999" customHeight="1" x14ac:dyDescent="0.2">
      <c r="A50" s="59" t="s">
        <v>49</v>
      </c>
      <c r="B50" s="100" t="s">
        <v>17</v>
      </c>
      <c r="C50" s="60">
        <v>120</v>
      </c>
      <c r="D50" s="61">
        <f>$C$68</f>
        <v>20.833333333333332</v>
      </c>
      <c r="E50" s="62">
        <f>C50*D50</f>
        <v>2500</v>
      </c>
      <c r="F50" s="88"/>
      <c r="I50" s="55"/>
      <c r="J50" s="55"/>
    </row>
    <row r="51" spans="1:10" ht="21.75" customHeight="1" x14ac:dyDescent="0.2">
      <c r="A51" s="59" t="s">
        <v>50</v>
      </c>
      <c r="B51" s="100" t="s">
        <v>17</v>
      </c>
      <c r="C51" s="60"/>
      <c r="D51" s="61">
        <f>$C$69</f>
        <v>17.12962962962963</v>
      </c>
      <c r="E51" s="62">
        <f>C51*D51</f>
        <v>0</v>
      </c>
      <c r="F51" s="72"/>
    </row>
    <row r="52" spans="1:10" ht="24.95" customHeight="1" x14ac:dyDescent="0.2">
      <c r="A52" s="206" t="s">
        <v>86</v>
      </c>
      <c r="B52" s="207" t="s">
        <v>18</v>
      </c>
      <c r="C52" s="207"/>
      <c r="D52" s="207"/>
      <c r="E52" s="62">
        <f>SUM(E50:E51)</f>
        <v>2500</v>
      </c>
      <c r="F52" s="102"/>
    </row>
    <row r="53" spans="1:10" ht="24.95" customHeight="1" x14ac:dyDescent="0.2">
      <c r="A53" s="206"/>
      <c r="B53" s="207" t="s">
        <v>87</v>
      </c>
      <c r="C53" s="207"/>
      <c r="D53" s="207"/>
      <c r="E53" s="62">
        <f>H54*H57</f>
        <v>775.00519130680607</v>
      </c>
      <c r="F53" s="102"/>
      <c r="I53" s="55"/>
      <c r="J53" s="55"/>
    </row>
    <row r="54" spans="1:10" ht="24.95" customHeight="1" x14ac:dyDescent="0.2">
      <c r="A54" s="206"/>
      <c r="B54" s="207" t="s">
        <v>20</v>
      </c>
      <c r="C54" s="207"/>
      <c r="D54" s="207"/>
      <c r="E54" s="62">
        <f>SUM(E52:E53)</f>
        <v>3275.005191306806</v>
      </c>
      <c r="F54" s="42"/>
      <c r="G54" s="107" t="s">
        <v>93</v>
      </c>
      <c r="H54" s="108">
        <v>17262.236000000001</v>
      </c>
    </row>
    <row r="55" spans="1:10" ht="24.95" customHeight="1" x14ac:dyDescent="0.2">
      <c r="A55" s="206"/>
      <c r="B55" s="207" t="s">
        <v>21</v>
      </c>
      <c r="C55" s="207"/>
      <c r="D55" s="207"/>
      <c r="E55" s="62">
        <f>E54*0.2</f>
        <v>655.00103826136126</v>
      </c>
      <c r="F55" s="42"/>
      <c r="G55" s="107" t="s">
        <v>18</v>
      </c>
      <c r="H55" s="108">
        <f>E52</f>
        <v>2500</v>
      </c>
    </row>
    <row r="56" spans="1:10" ht="24.95" customHeight="1" x14ac:dyDescent="0.2">
      <c r="A56" s="103" t="s">
        <v>59</v>
      </c>
      <c r="B56" s="202"/>
      <c r="C56" s="202"/>
      <c r="D56" s="202"/>
      <c r="E56" s="65">
        <f>SUM(E54:E55)</f>
        <v>3930.0062295681673</v>
      </c>
      <c r="F56" s="42"/>
      <c r="G56" s="107" t="s">
        <v>91</v>
      </c>
      <c r="H56" s="108">
        <f>H21</f>
        <v>55684.259259259255</v>
      </c>
      <c r="I56" s="91"/>
    </row>
    <row r="57" spans="1:10" ht="24.95" customHeight="1" x14ac:dyDescent="0.2">
      <c r="A57" s="208" t="s">
        <v>101</v>
      </c>
      <c r="B57" s="208"/>
      <c r="C57" s="208"/>
      <c r="D57" s="208"/>
      <c r="E57" s="65">
        <f>E22+E45+E56+E34</f>
        <v>125031.79431111112</v>
      </c>
      <c r="F57" s="69"/>
      <c r="G57" s="107" t="s">
        <v>92</v>
      </c>
      <c r="H57" s="109">
        <f>H55/H56</f>
        <v>4.4895990954289235E-2</v>
      </c>
    </row>
    <row r="58" spans="1:10" x14ac:dyDescent="0.2">
      <c r="A58" s="12"/>
      <c r="E58" s="111">
        <f>E57/'2023_NRSC'!E34</f>
        <v>1.887044026562577</v>
      </c>
    </row>
    <row r="59" spans="1:10" x14ac:dyDescent="0.2">
      <c r="A59" s="12"/>
      <c r="E59" s="104">
        <f>E57-E34</f>
        <v>89215.794311111124</v>
      </c>
    </row>
    <row r="60" spans="1:10" x14ac:dyDescent="0.2">
      <c r="A60" s="12"/>
    </row>
    <row r="61" spans="1:10" x14ac:dyDescent="0.2">
      <c r="A61" s="12"/>
      <c r="E61" s="31"/>
    </row>
    <row r="62" spans="1:10" x14ac:dyDescent="0.2">
      <c r="A62" s="12"/>
    </row>
    <row r="63" spans="1:10" x14ac:dyDescent="0.2">
      <c r="A63" s="12"/>
    </row>
    <row r="64" spans="1:10" x14ac:dyDescent="0.2">
      <c r="A64" s="12"/>
    </row>
    <row r="65" spans="1:5" x14ac:dyDescent="0.2">
      <c r="A65" s="12"/>
    </row>
    <row r="66" spans="1:5" ht="13.5" thickBot="1" x14ac:dyDescent="0.25">
      <c r="A66" s="12"/>
      <c r="B66" s="54"/>
      <c r="D66" s="43"/>
    </row>
    <row r="67" spans="1:5" ht="64.5" customHeight="1" thickBot="1" x14ac:dyDescent="0.25">
      <c r="A67" s="2" t="s">
        <v>0</v>
      </c>
      <c r="B67" s="2" t="s">
        <v>1</v>
      </c>
      <c r="C67" s="3" t="s">
        <v>2</v>
      </c>
      <c r="D67" s="44" t="s">
        <v>77</v>
      </c>
      <c r="E67" s="16"/>
    </row>
    <row r="68" spans="1:5" ht="14.25" customHeight="1" thickBot="1" x14ac:dyDescent="0.25">
      <c r="A68" s="21" t="s">
        <v>49</v>
      </c>
      <c r="B68" s="25">
        <v>450</v>
      </c>
      <c r="C68" s="6">
        <f>B68/21.6</f>
        <v>20.833333333333332</v>
      </c>
      <c r="D68" s="45">
        <v>320</v>
      </c>
      <c r="E68" s="14"/>
    </row>
    <row r="69" spans="1:5" ht="13.5" thickBot="1" x14ac:dyDescent="0.25">
      <c r="A69" s="21" t="s">
        <v>50</v>
      </c>
      <c r="B69" s="25">
        <v>370</v>
      </c>
      <c r="C69" s="6">
        <f>B69/21.6</f>
        <v>17.12962962962963</v>
      </c>
      <c r="D69" s="45">
        <v>290</v>
      </c>
      <c r="E69" s="14"/>
    </row>
    <row r="70" spans="1:5" ht="13.5" thickBot="1" x14ac:dyDescent="0.25">
      <c r="A70" s="21" t="s">
        <v>51</v>
      </c>
      <c r="B70" s="25">
        <v>300</v>
      </c>
      <c r="C70" s="6">
        <f>B70/21.6</f>
        <v>13.888888888888888</v>
      </c>
      <c r="D70" s="45">
        <v>240</v>
      </c>
      <c r="E70" s="14"/>
    </row>
    <row r="71" spans="1:5" ht="13.5" thickBot="1" x14ac:dyDescent="0.25">
      <c r="A71" s="21" t="s">
        <v>52</v>
      </c>
      <c r="B71" s="25">
        <v>230</v>
      </c>
      <c r="C71" s="6">
        <f>B71/21.6</f>
        <v>10.648148148148147</v>
      </c>
      <c r="D71" s="45">
        <v>170</v>
      </c>
      <c r="E71" s="14"/>
    </row>
    <row r="72" spans="1:5" x14ac:dyDescent="0.2">
      <c r="A72" s="39"/>
      <c r="B72" s="16"/>
      <c r="C72" s="16"/>
      <c r="D72" s="44"/>
      <c r="E72" s="16"/>
    </row>
    <row r="75" spans="1:5" x14ac:dyDescent="0.2">
      <c r="A75" s="55"/>
      <c r="B75" s="54"/>
      <c r="C75" s="54"/>
      <c r="D75" s="54"/>
    </row>
    <row r="76" spans="1:5" x14ac:dyDescent="0.2">
      <c r="A76" s="55"/>
      <c r="B76" s="54"/>
      <c r="C76" s="54"/>
      <c r="D76" s="54"/>
    </row>
    <row r="77" spans="1:5" x14ac:dyDescent="0.2">
      <c r="A77" s="55"/>
      <c r="B77" s="54"/>
      <c r="C77" s="54"/>
      <c r="D77" s="54"/>
    </row>
    <row r="78" spans="1:5" x14ac:dyDescent="0.2">
      <c r="A78" s="55"/>
      <c r="B78" s="54"/>
      <c r="C78" s="54"/>
      <c r="D78" s="54"/>
    </row>
    <row r="79" spans="1:5" x14ac:dyDescent="0.2">
      <c r="A79" s="55"/>
      <c r="B79" s="54"/>
      <c r="C79" s="54"/>
      <c r="D79" s="54"/>
    </row>
    <row r="80" spans="1:5" x14ac:dyDescent="0.2">
      <c r="A80" s="55"/>
      <c r="B80" s="54"/>
      <c r="C80" s="54"/>
      <c r="D80" s="54"/>
    </row>
    <row r="81" spans="1:4" x14ac:dyDescent="0.2">
      <c r="A81" s="55"/>
      <c r="B81" s="54"/>
      <c r="C81" s="54"/>
      <c r="D81" s="54"/>
    </row>
    <row r="82" spans="1:4" x14ac:dyDescent="0.2">
      <c r="A82" s="55"/>
      <c r="B82" s="54"/>
      <c r="C82" s="54"/>
      <c r="D82" s="54"/>
    </row>
    <row r="83" spans="1:4" x14ac:dyDescent="0.2">
      <c r="A83" s="55"/>
      <c r="B83" s="54"/>
      <c r="C83" s="54"/>
      <c r="D83" s="54"/>
    </row>
    <row r="84" spans="1:4" x14ac:dyDescent="0.2">
      <c r="A84" s="55"/>
      <c r="B84" s="54"/>
      <c r="C84" s="54"/>
      <c r="D84" s="54"/>
    </row>
    <row r="85" spans="1:4" x14ac:dyDescent="0.2">
      <c r="A85" s="55"/>
      <c r="B85" s="54"/>
      <c r="C85" s="54"/>
      <c r="D85" s="54"/>
    </row>
    <row r="86" spans="1:4" x14ac:dyDescent="0.2">
      <c r="A86" s="55"/>
      <c r="B86" s="54"/>
      <c r="C86" s="54"/>
      <c r="D86" s="54"/>
    </row>
    <row r="87" spans="1:4" x14ac:dyDescent="0.2">
      <c r="A87" s="55"/>
      <c r="B87" s="54"/>
      <c r="C87" s="54"/>
      <c r="D87" s="54"/>
    </row>
    <row r="88" spans="1:4" x14ac:dyDescent="0.2">
      <c r="A88" s="55"/>
      <c r="B88" s="54"/>
      <c r="C88" s="54"/>
      <c r="D88" s="54"/>
    </row>
    <row r="89" spans="1:4" x14ac:dyDescent="0.2">
      <c r="A89" s="55"/>
      <c r="B89" s="54"/>
      <c r="C89" s="54"/>
      <c r="D89" s="54"/>
    </row>
    <row r="90" spans="1:4" x14ac:dyDescent="0.2">
      <c r="A90" s="55"/>
      <c r="B90" s="54"/>
      <c r="C90" s="54"/>
      <c r="D90" s="54"/>
    </row>
    <row r="91" spans="1:4" x14ac:dyDescent="0.2">
      <c r="A91" s="55"/>
      <c r="B91" s="54"/>
      <c r="C91" s="54"/>
      <c r="D91" s="54"/>
    </row>
    <row r="92" spans="1:4" x14ac:dyDescent="0.2">
      <c r="A92" s="55"/>
      <c r="B92" s="54"/>
      <c r="C92" s="54"/>
      <c r="D92" s="54"/>
    </row>
  </sheetData>
  <mergeCells count="34">
    <mergeCell ref="B56:D56"/>
    <mergeCell ref="A57:D57"/>
    <mergeCell ref="B45:D45"/>
    <mergeCell ref="A47:E47"/>
    <mergeCell ref="A52:A55"/>
    <mergeCell ref="B52:D52"/>
    <mergeCell ref="B53:D53"/>
    <mergeCell ref="B54:D54"/>
    <mergeCell ref="B55:D55"/>
    <mergeCell ref="B34:D34"/>
    <mergeCell ref="A36:E36"/>
    <mergeCell ref="A41:A44"/>
    <mergeCell ref="B41:D41"/>
    <mergeCell ref="B42:D42"/>
    <mergeCell ref="B43:D43"/>
    <mergeCell ref="B44:D44"/>
    <mergeCell ref="B22:D22"/>
    <mergeCell ref="A24:E24"/>
    <mergeCell ref="A28:A33"/>
    <mergeCell ref="B28:D28"/>
    <mergeCell ref="B29:D29"/>
    <mergeCell ref="B30:D30"/>
    <mergeCell ref="B31:D31"/>
    <mergeCell ref="B32:D32"/>
    <mergeCell ref="B33:D33"/>
    <mergeCell ref="A1:F1"/>
    <mergeCell ref="A2:E2"/>
    <mergeCell ref="A16:A21"/>
    <mergeCell ref="B16:D16"/>
    <mergeCell ref="B17:D17"/>
    <mergeCell ref="B18:D18"/>
    <mergeCell ref="B19:D19"/>
    <mergeCell ref="B20:D20"/>
    <mergeCell ref="B21:D21"/>
  </mergeCells>
  <pageMargins left="0" right="0" top="0" bottom="0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88"/>
  <sheetViews>
    <sheetView workbookViewId="0">
      <selection activeCell="B63" sqref="B63:B66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0.5703125" style="42" bestFit="1" customWidth="1"/>
    <col min="7" max="10" width="9.140625" style="18"/>
    <col min="11" max="16384" width="9.140625" style="1"/>
  </cols>
  <sheetData>
    <row r="1" spans="1:5" ht="20.100000000000001" customHeight="1" x14ac:dyDescent="0.2">
      <c r="A1" s="205" t="s">
        <v>8</v>
      </c>
      <c r="B1" s="205"/>
      <c r="C1" s="205"/>
      <c r="D1" s="205"/>
      <c r="E1" s="205"/>
    </row>
    <row r="2" spans="1:5" ht="30" customHeight="1" x14ac:dyDescent="0.2">
      <c r="A2" s="66" t="s">
        <v>9</v>
      </c>
      <c r="B2" s="66" t="s">
        <v>10</v>
      </c>
      <c r="C2" s="66" t="s">
        <v>11</v>
      </c>
      <c r="D2" s="66" t="s">
        <v>12</v>
      </c>
      <c r="E2" s="66" t="s">
        <v>13</v>
      </c>
    </row>
    <row r="3" spans="1:5" ht="30" customHeight="1" x14ac:dyDescent="0.2">
      <c r="A3" s="57" t="s">
        <v>85</v>
      </c>
      <c r="B3" s="58"/>
      <c r="C3" s="58"/>
      <c r="D3" s="58"/>
      <c r="E3" s="58"/>
    </row>
    <row r="4" spans="1:5" ht="19.899999999999999" customHeight="1" x14ac:dyDescent="0.2">
      <c r="A4" s="59" t="s">
        <v>49</v>
      </c>
      <c r="B4" s="56" t="s">
        <v>17</v>
      </c>
      <c r="C4" s="60">
        <v>700</v>
      </c>
      <c r="D4" s="61">
        <f>$C$63</f>
        <v>18.981481481481481</v>
      </c>
      <c r="E4" s="62">
        <f>C4*D4</f>
        <v>13287.037037037036</v>
      </c>
    </row>
    <row r="5" spans="1:5" ht="19.899999999999999" customHeight="1" x14ac:dyDescent="0.2">
      <c r="A5" s="59" t="s">
        <v>50</v>
      </c>
      <c r="B5" s="56" t="s">
        <v>17</v>
      </c>
      <c r="C5" s="60">
        <v>700</v>
      </c>
      <c r="D5" s="61">
        <f>$C$64</f>
        <v>15.277777777777777</v>
      </c>
      <c r="E5" s="62">
        <f>C5*D5</f>
        <v>10694.444444444443</v>
      </c>
    </row>
    <row r="6" spans="1:5" ht="30" customHeight="1" x14ac:dyDescent="0.2">
      <c r="A6" s="57" t="s">
        <v>15</v>
      </c>
      <c r="B6" s="56"/>
      <c r="C6" s="60"/>
      <c r="D6" s="61"/>
      <c r="E6" s="62"/>
    </row>
    <row r="7" spans="1:5" ht="19.899999999999999" customHeight="1" x14ac:dyDescent="0.2">
      <c r="A7" s="59" t="s">
        <v>49</v>
      </c>
      <c r="B7" s="56" t="s">
        <v>17</v>
      </c>
      <c r="C7" s="60">
        <v>700</v>
      </c>
      <c r="D7" s="61">
        <f>$C$63</f>
        <v>18.981481481481481</v>
      </c>
      <c r="E7" s="62">
        <f>C7*D7</f>
        <v>13287.037037037036</v>
      </c>
    </row>
    <row r="8" spans="1:5" ht="19.899999999999999" customHeight="1" x14ac:dyDescent="0.2">
      <c r="A8" s="59" t="s">
        <v>50</v>
      </c>
      <c r="B8" s="56" t="s">
        <v>17</v>
      </c>
      <c r="C8" s="60">
        <v>700</v>
      </c>
      <c r="D8" s="61">
        <f>$C$64</f>
        <v>15.277777777777777</v>
      </c>
      <c r="E8" s="62">
        <f>C8*D8</f>
        <v>10694.444444444443</v>
      </c>
    </row>
    <row r="9" spans="1:5" ht="50.1" customHeight="1" x14ac:dyDescent="0.2">
      <c r="A9" s="57" t="s">
        <v>16</v>
      </c>
      <c r="B9" s="56"/>
      <c r="C9" s="60"/>
      <c r="D9" s="61"/>
      <c r="E9" s="62"/>
    </row>
    <row r="10" spans="1:5" ht="19.899999999999999" customHeight="1" x14ac:dyDescent="0.2">
      <c r="A10" s="59" t="s">
        <v>49</v>
      </c>
      <c r="B10" s="56" t="s">
        <v>17</v>
      </c>
      <c r="C10" s="60">
        <v>700</v>
      </c>
      <c r="D10" s="61">
        <f>$C$63</f>
        <v>18.981481481481481</v>
      </c>
      <c r="E10" s="62">
        <f>C10*D10</f>
        <v>13287.037037037036</v>
      </c>
    </row>
    <row r="11" spans="1:5" ht="19.899999999999999" customHeight="1" x14ac:dyDescent="0.2">
      <c r="A11" s="59" t="s">
        <v>50</v>
      </c>
      <c r="B11" s="56" t="s">
        <v>17</v>
      </c>
      <c r="C11" s="60">
        <v>700</v>
      </c>
      <c r="D11" s="61">
        <f>$C$64</f>
        <v>15.277777777777777</v>
      </c>
      <c r="E11" s="62">
        <f>C11*D11</f>
        <v>10694.444444444443</v>
      </c>
    </row>
    <row r="12" spans="1:5" ht="50.1" customHeight="1" x14ac:dyDescent="0.2">
      <c r="A12" s="57" t="s">
        <v>40</v>
      </c>
      <c r="B12" s="56"/>
      <c r="C12" s="60"/>
      <c r="D12" s="61"/>
      <c r="E12" s="62"/>
    </row>
    <row r="13" spans="1:5" ht="19.899999999999999" customHeight="1" x14ac:dyDescent="0.2">
      <c r="A13" s="59" t="s">
        <v>49</v>
      </c>
      <c r="B13" s="56" t="s">
        <v>17</v>
      </c>
      <c r="C13" s="60">
        <v>700</v>
      </c>
      <c r="D13" s="61">
        <f>$C$63</f>
        <v>18.981481481481481</v>
      </c>
      <c r="E13" s="62">
        <f>C13*D13</f>
        <v>13287.037037037036</v>
      </c>
    </row>
    <row r="14" spans="1:5" ht="19.899999999999999" customHeight="1" x14ac:dyDescent="0.2">
      <c r="A14" s="59" t="s">
        <v>50</v>
      </c>
      <c r="B14" s="56" t="s">
        <v>17</v>
      </c>
      <c r="C14" s="60">
        <v>700</v>
      </c>
      <c r="D14" s="61">
        <f>$C$64</f>
        <v>15.277777777777777</v>
      </c>
      <c r="E14" s="62">
        <f>C14*D14</f>
        <v>10694.444444444443</v>
      </c>
    </row>
    <row r="15" spans="1:5" ht="24.95" customHeight="1" x14ac:dyDescent="0.2">
      <c r="A15" s="206" t="s">
        <v>86</v>
      </c>
      <c r="B15" s="207" t="s">
        <v>18</v>
      </c>
      <c r="C15" s="207"/>
      <c r="D15" s="207"/>
      <c r="E15" s="62">
        <f>E4+E5+E7+E8+E10+E11+E13+E14</f>
        <v>95925.925925925912</v>
      </c>
    </row>
    <row r="16" spans="1:5" ht="24.95" customHeight="1" x14ac:dyDescent="0.2">
      <c r="A16" s="206"/>
      <c r="B16" s="207" t="s">
        <v>19</v>
      </c>
      <c r="C16" s="207"/>
      <c r="D16" s="207"/>
      <c r="E16" s="62">
        <f>E15*0.25</f>
        <v>23981.481481481478</v>
      </c>
    </row>
    <row r="17" spans="1:6" ht="24.95" customHeight="1" x14ac:dyDescent="0.2">
      <c r="A17" s="206"/>
      <c r="B17" s="207" t="s">
        <v>20</v>
      </c>
      <c r="C17" s="207"/>
      <c r="D17" s="207"/>
      <c r="E17" s="62">
        <f>SUM(E15:E16)</f>
        <v>119907.40740740739</v>
      </c>
    </row>
    <row r="18" spans="1:6" ht="24.95" customHeight="1" x14ac:dyDescent="0.2">
      <c r="A18" s="206"/>
      <c r="B18" s="207" t="s">
        <v>21</v>
      </c>
      <c r="C18" s="207"/>
      <c r="D18" s="207"/>
      <c r="E18" s="62">
        <f>E17*0.2</f>
        <v>23981.481481481478</v>
      </c>
    </row>
    <row r="19" spans="1:6" ht="24.95" customHeight="1" x14ac:dyDescent="0.2">
      <c r="A19" s="64" t="s">
        <v>22</v>
      </c>
      <c r="B19" s="202"/>
      <c r="C19" s="202"/>
      <c r="D19" s="202"/>
      <c r="E19" s="65">
        <f>SUM(E17:E18)</f>
        <v>143888.88888888888</v>
      </c>
    </row>
    <row r="20" spans="1:6" x14ac:dyDescent="0.2">
      <c r="A20" s="8"/>
      <c r="B20" s="9"/>
      <c r="C20" s="9"/>
      <c r="D20" s="9"/>
      <c r="E20" s="9"/>
    </row>
    <row r="21" spans="1:6" ht="28.15" customHeight="1" x14ac:dyDescent="0.2">
      <c r="A21" s="205" t="s">
        <v>84</v>
      </c>
      <c r="B21" s="205"/>
      <c r="C21" s="205"/>
      <c r="D21" s="205"/>
      <c r="E21" s="205"/>
    </row>
    <row r="22" spans="1:6" ht="24.95" customHeight="1" x14ac:dyDescent="0.2">
      <c r="A22" s="56" t="s">
        <v>9</v>
      </c>
      <c r="B22" s="56" t="s">
        <v>10</v>
      </c>
      <c r="C22" s="56" t="s">
        <v>11</v>
      </c>
      <c r="D22" s="56" t="s">
        <v>12</v>
      </c>
      <c r="E22" s="56" t="s">
        <v>13</v>
      </c>
    </row>
    <row r="23" spans="1:6" ht="24.95" customHeight="1" x14ac:dyDescent="0.2">
      <c r="A23" s="67" t="s">
        <v>49</v>
      </c>
      <c r="B23" s="56" t="s">
        <v>17</v>
      </c>
      <c r="C23" s="63">
        <v>250</v>
      </c>
      <c r="D23" s="61">
        <f>C63</f>
        <v>18.981481481481481</v>
      </c>
      <c r="E23" s="62">
        <f>C23*D23</f>
        <v>4745.3703703703704</v>
      </c>
      <c r="F23" s="42" t="s">
        <v>78</v>
      </c>
    </row>
    <row r="24" spans="1:6" ht="24.95" customHeight="1" x14ac:dyDescent="0.2">
      <c r="A24" s="67" t="s">
        <v>50</v>
      </c>
      <c r="B24" s="56" t="s">
        <v>17</v>
      </c>
      <c r="C24" s="63">
        <v>500</v>
      </c>
      <c r="D24" s="61">
        <f>C64</f>
        <v>15.277777777777777</v>
      </c>
      <c r="E24" s="62">
        <f>C24*D24</f>
        <v>7638.8888888888887</v>
      </c>
    </row>
    <row r="25" spans="1:6" ht="24.95" customHeight="1" x14ac:dyDescent="0.2">
      <c r="A25" s="206" t="s">
        <v>86</v>
      </c>
      <c r="B25" s="207" t="s">
        <v>54</v>
      </c>
      <c r="C25" s="207"/>
      <c r="D25" s="207"/>
      <c r="E25" s="62">
        <f>E23+E24</f>
        <v>12384.259259259259</v>
      </c>
    </row>
    <row r="26" spans="1:6" ht="24.95" customHeight="1" x14ac:dyDescent="0.2">
      <c r="A26" s="206"/>
      <c r="B26" s="207" t="s">
        <v>58</v>
      </c>
      <c r="C26" s="207"/>
      <c r="D26" s="207"/>
      <c r="E26" s="62">
        <f>E25*0.4</f>
        <v>4953.7037037037044</v>
      </c>
    </row>
    <row r="27" spans="1:6" ht="24.95" customHeight="1" x14ac:dyDescent="0.2">
      <c r="A27" s="206"/>
      <c r="B27" s="207" t="s">
        <v>57</v>
      </c>
      <c r="C27" s="207"/>
      <c r="D27" s="207"/>
      <c r="E27" s="62">
        <v>400</v>
      </c>
    </row>
    <row r="28" spans="1:6" ht="24.95" customHeight="1" x14ac:dyDescent="0.2">
      <c r="A28" s="206"/>
      <c r="B28" s="207" t="s">
        <v>20</v>
      </c>
      <c r="C28" s="207"/>
      <c r="D28" s="207"/>
      <c r="E28" s="62">
        <f>SUM(E25:E27)</f>
        <v>17737.962962962964</v>
      </c>
    </row>
    <row r="29" spans="1:6" ht="24.95" customHeight="1" x14ac:dyDescent="0.2">
      <c r="A29" s="206"/>
      <c r="B29" s="207" t="s">
        <v>21</v>
      </c>
      <c r="C29" s="207"/>
      <c r="D29" s="207"/>
      <c r="E29" s="62">
        <f>E28*0.2</f>
        <v>3547.5925925925931</v>
      </c>
    </row>
    <row r="30" spans="1:6" ht="24.95" customHeight="1" x14ac:dyDescent="0.2">
      <c r="A30" s="64" t="s">
        <v>26</v>
      </c>
      <c r="B30" s="202"/>
      <c r="C30" s="202"/>
      <c r="D30" s="202"/>
      <c r="E30" s="65">
        <f>SUM(E28:E29)</f>
        <v>21285.555555555555</v>
      </c>
    </row>
    <row r="31" spans="1:6" ht="24.95" customHeight="1" x14ac:dyDescent="0.2">
      <c r="A31" s="33"/>
      <c r="B31" s="34"/>
      <c r="C31" s="34"/>
      <c r="D31" s="34"/>
      <c r="E31" s="35"/>
    </row>
    <row r="32" spans="1:6" ht="24" customHeight="1" x14ac:dyDescent="0.2">
      <c r="A32" s="205" t="s">
        <v>82</v>
      </c>
      <c r="B32" s="205"/>
      <c r="C32" s="205"/>
      <c r="D32" s="205"/>
      <c r="E32" s="205"/>
    </row>
    <row r="33" spans="1:5" ht="24.95" customHeight="1" x14ac:dyDescent="0.2">
      <c r="A33" s="56" t="s">
        <v>9</v>
      </c>
      <c r="B33" s="56" t="s">
        <v>10</v>
      </c>
      <c r="C33" s="56" t="s">
        <v>11</v>
      </c>
      <c r="D33" s="56" t="s">
        <v>12</v>
      </c>
      <c r="E33" s="56" t="s">
        <v>13</v>
      </c>
    </row>
    <row r="34" spans="1:5" ht="24.95" customHeight="1" x14ac:dyDescent="0.2">
      <c r="A34" s="67" t="s">
        <v>23</v>
      </c>
      <c r="B34" s="56" t="s">
        <v>17</v>
      </c>
      <c r="C34" s="60">
        <v>252</v>
      </c>
      <c r="D34" s="61">
        <f>C66</f>
        <v>8.7962962962962958</v>
      </c>
      <c r="E34" s="62">
        <f>C34*D34</f>
        <v>2216.6666666666665</v>
      </c>
    </row>
    <row r="35" spans="1:5" ht="24.95" customHeight="1" x14ac:dyDescent="0.2">
      <c r="A35" s="67" t="s">
        <v>24</v>
      </c>
      <c r="B35" s="56" t="s">
        <v>17</v>
      </c>
      <c r="C35" s="60">
        <v>50</v>
      </c>
      <c r="D35" s="61">
        <f>C63</f>
        <v>18.981481481481481</v>
      </c>
      <c r="E35" s="62">
        <f>C35*D35</f>
        <v>949.07407407407402</v>
      </c>
    </row>
    <row r="36" spans="1:5" ht="24.95" customHeight="1" x14ac:dyDescent="0.2">
      <c r="A36" s="67" t="s">
        <v>25</v>
      </c>
      <c r="B36" s="56"/>
      <c r="C36" s="68"/>
      <c r="D36" s="68"/>
      <c r="E36" s="62">
        <f>SUM(E34:E35)</f>
        <v>3165.7407407407404</v>
      </c>
    </row>
    <row r="37" spans="1:5" ht="24.95" customHeight="1" x14ac:dyDescent="0.2">
      <c r="A37" s="206" t="s">
        <v>86</v>
      </c>
      <c r="B37" s="207" t="s">
        <v>79</v>
      </c>
      <c r="C37" s="207"/>
      <c r="D37" s="207"/>
      <c r="E37" s="62">
        <f>3*(E34+E35)</f>
        <v>9497.2222222222208</v>
      </c>
    </row>
    <row r="38" spans="1:5" ht="24.95" customHeight="1" x14ac:dyDescent="0.2">
      <c r="A38" s="206"/>
      <c r="B38" s="207" t="s">
        <v>19</v>
      </c>
      <c r="C38" s="207"/>
      <c r="D38" s="207"/>
      <c r="E38" s="62">
        <f>E37*0.25</f>
        <v>2374.3055555555552</v>
      </c>
    </row>
    <row r="39" spans="1:5" ht="24.95" customHeight="1" x14ac:dyDescent="0.2">
      <c r="A39" s="206"/>
      <c r="B39" s="207" t="s">
        <v>20</v>
      </c>
      <c r="C39" s="207"/>
      <c r="D39" s="207"/>
      <c r="E39" s="62">
        <f>SUM(E37:E38)</f>
        <v>11871.527777777776</v>
      </c>
    </row>
    <row r="40" spans="1:5" ht="24.95" customHeight="1" x14ac:dyDescent="0.2">
      <c r="A40" s="206"/>
      <c r="B40" s="207" t="s">
        <v>21</v>
      </c>
      <c r="C40" s="207"/>
      <c r="D40" s="207"/>
      <c r="E40" s="62">
        <f>E39*0.2</f>
        <v>2374.3055555555552</v>
      </c>
    </row>
    <row r="41" spans="1:5" ht="24.95" customHeight="1" x14ac:dyDescent="0.2">
      <c r="A41" s="64" t="s">
        <v>39</v>
      </c>
      <c r="B41" s="202"/>
      <c r="C41" s="202"/>
      <c r="D41" s="202"/>
      <c r="E41" s="65">
        <f>SUM(E39:E40)</f>
        <v>14245.83333333333</v>
      </c>
    </row>
    <row r="42" spans="1:5" ht="33.75" customHeight="1" x14ac:dyDescent="0.2">
      <c r="A42" s="205" t="s">
        <v>68</v>
      </c>
      <c r="B42" s="205"/>
      <c r="C42" s="205"/>
      <c r="D42" s="205"/>
      <c r="E42" s="205"/>
    </row>
    <row r="43" spans="1:5" ht="24.95" customHeight="1" x14ac:dyDescent="0.2">
      <c r="A43" s="56" t="s">
        <v>9</v>
      </c>
      <c r="B43" s="56" t="s">
        <v>10</v>
      </c>
      <c r="C43" s="56" t="s">
        <v>11</v>
      </c>
      <c r="D43" s="56" t="s">
        <v>12</v>
      </c>
      <c r="E43" s="56" t="s">
        <v>13</v>
      </c>
    </row>
    <row r="44" spans="1:5" ht="75.599999999999994" customHeight="1" x14ac:dyDescent="0.2">
      <c r="A44" s="57" t="s">
        <v>67</v>
      </c>
      <c r="B44" s="56"/>
      <c r="C44" s="63"/>
      <c r="D44" s="61"/>
      <c r="E44" s="62"/>
    </row>
    <row r="45" spans="1:5" ht="19.899999999999999" customHeight="1" x14ac:dyDescent="0.2">
      <c r="A45" s="59" t="s">
        <v>49</v>
      </c>
      <c r="B45" s="56" t="s">
        <v>17</v>
      </c>
      <c r="C45" s="60">
        <v>200</v>
      </c>
      <c r="D45" s="61">
        <f>$C$63</f>
        <v>18.981481481481481</v>
      </c>
      <c r="E45" s="62">
        <f>C45*D45</f>
        <v>3796.2962962962961</v>
      </c>
    </row>
    <row r="46" spans="1:5" ht="19.899999999999999" customHeight="1" x14ac:dyDescent="0.2">
      <c r="A46" s="59" t="s">
        <v>50</v>
      </c>
      <c r="B46" s="56" t="s">
        <v>17</v>
      </c>
      <c r="C46" s="60">
        <v>400</v>
      </c>
      <c r="D46" s="61">
        <f>$C$64</f>
        <v>15.277777777777777</v>
      </c>
      <c r="E46" s="62">
        <f>C46*D46</f>
        <v>6111.1111111111104</v>
      </c>
    </row>
    <row r="47" spans="1:5" ht="24.95" customHeight="1" x14ac:dyDescent="0.2">
      <c r="A47" s="206" t="s">
        <v>86</v>
      </c>
      <c r="B47" s="207" t="s">
        <v>18</v>
      </c>
      <c r="C47" s="207"/>
      <c r="D47" s="207"/>
      <c r="E47" s="62">
        <f>SUM(E45:E46)</f>
        <v>9907.4074074074069</v>
      </c>
    </row>
    <row r="48" spans="1:5" ht="24.95" customHeight="1" x14ac:dyDescent="0.2">
      <c r="A48" s="206"/>
      <c r="B48" s="207" t="s">
        <v>19</v>
      </c>
      <c r="C48" s="207"/>
      <c r="D48" s="207"/>
      <c r="E48" s="62">
        <f>E47*0.25</f>
        <v>2476.8518518518517</v>
      </c>
    </row>
    <row r="49" spans="1:6" ht="24.95" customHeight="1" x14ac:dyDescent="0.2">
      <c r="A49" s="206"/>
      <c r="B49" s="207" t="s">
        <v>20</v>
      </c>
      <c r="C49" s="207"/>
      <c r="D49" s="207"/>
      <c r="E49" s="62">
        <f>SUM(E47:E48)</f>
        <v>12384.259259259259</v>
      </c>
    </row>
    <row r="50" spans="1:6" ht="24.95" customHeight="1" x14ac:dyDescent="0.2">
      <c r="A50" s="206"/>
      <c r="B50" s="207" t="s">
        <v>21</v>
      </c>
      <c r="C50" s="207"/>
      <c r="D50" s="207"/>
      <c r="E50" s="62">
        <f>E49*0.2</f>
        <v>2476.8518518518522</v>
      </c>
    </row>
    <row r="51" spans="1:6" ht="24.95" customHeight="1" x14ac:dyDescent="0.2">
      <c r="A51" s="64" t="s">
        <v>59</v>
      </c>
      <c r="B51" s="202"/>
      <c r="C51" s="202"/>
      <c r="D51" s="202"/>
      <c r="E51" s="65">
        <f>SUM(E49:E50)</f>
        <v>14861.111111111111</v>
      </c>
      <c r="F51" s="42" t="s">
        <v>69</v>
      </c>
    </row>
    <row r="52" spans="1:6" ht="24.95" customHeight="1" thickBot="1" x14ac:dyDescent="0.25">
      <c r="A52" s="203" t="s">
        <v>61</v>
      </c>
      <c r="B52" s="204"/>
      <c r="C52" s="204"/>
      <c r="D52" s="204"/>
      <c r="E52" s="26">
        <f>E19+E41+E51+E30</f>
        <v>194281.38888888891</v>
      </c>
      <c r="F52" s="42">
        <v>136557.66699999999</v>
      </c>
    </row>
    <row r="53" spans="1:6" x14ac:dyDescent="0.2">
      <c r="A53" s="12"/>
      <c r="E53" s="30"/>
    </row>
    <row r="54" spans="1:6" x14ac:dyDescent="0.2">
      <c r="A54" s="12"/>
    </row>
    <row r="55" spans="1:6" x14ac:dyDescent="0.2">
      <c r="A55" s="12"/>
    </row>
    <row r="56" spans="1:6" x14ac:dyDescent="0.2">
      <c r="A56" s="12"/>
      <c r="E56" s="31"/>
    </row>
    <row r="57" spans="1:6" x14ac:dyDescent="0.2">
      <c r="A57" s="12"/>
    </row>
    <row r="58" spans="1:6" x14ac:dyDescent="0.2">
      <c r="A58" s="12"/>
    </row>
    <row r="59" spans="1:6" x14ac:dyDescent="0.2">
      <c r="A59" s="12"/>
    </row>
    <row r="60" spans="1:6" x14ac:dyDescent="0.2">
      <c r="A60" s="12"/>
    </row>
    <row r="61" spans="1:6" ht="26.25" thickBot="1" x14ac:dyDescent="0.25">
      <c r="A61" s="12"/>
      <c r="B61" s="43" t="s">
        <v>76</v>
      </c>
      <c r="D61" s="43"/>
    </row>
    <row r="62" spans="1:6" ht="64.5" customHeight="1" thickBot="1" x14ac:dyDescent="0.25">
      <c r="A62" s="2" t="s">
        <v>0</v>
      </c>
      <c r="B62" s="2" t="s">
        <v>1</v>
      </c>
      <c r="C62" s="3" t="s">
        <v>2</v>
      </c>
      <c r="D62" s="44" t="s">
        <v>77</v>
      </c>
      <c r="E62" s="16"/>
    </row>
    <row r="63" spans="1:6" ht="14.25" customHeight="1" thickBot="1" x14ac:dyDescent="0.25">
      <c r="A63" s="21" t="s">
        <v>49</v>
      </c>
      <c r="B63" s="25">
        <f>400+10</f>
        <v>410</v>
      </c>
      <c r="C63" s="6">
        <f>B63/21.6</f>
        <v>18.981481481481481</v>
      </c>
      <c r="D63" s="45">
        <v>320</v>
      </c>
      <c r="E63" s="14"/>
    </row>
    <row r="64" spans="1:6" ht="13.5" thickBot="1" x14ac:dyDescent="0.25">
      <c r="A64" s="21" t="s">
        <v>50</v>
      </c>
      <c r="B64" s="25">
        <f>320+10</f>
        <v>330</v>
      </c>
      <c r="C64" s="6">
        <f>B64/21.6</f>
        <v>15.277777777777777</v>
      </c>
      <c r="D64" s="45">
        <v>290</v>
      </c>
      <c r="E64" s="14"/>
    </row>
    <row r="65" spans="1:5" ht="13.5" thickBot="1" x14ac:dyDescent="0.25">
      <c r="A65" s="21" t="s">
        <v>51</v>
      </c>
      <c r="B65" s="25">
        <f>250+10</f>
        <v>260</v>
      </c>
      <c r="C65" s="6">
        <f>B65/21.6</f>
        <v>12.037037037037036</v>
      </c>
      <c r="D65" s="45">
        <v>240</v>
      </c>
      <c r="E65" s="14"/>
    </row>
    <row r="66" spans="1:5" ht="13.5" thickBot="1" x14ac:dyDescent="0.25">
      <c r="A66" s="21" t="s">
        <v>52</v>
      </c>
      <c r="B66" s="25">
        <f>180+10</f>
        <v>190</v>
      </c>
      <c r="C66" s="6">
        <f>B66/21.6</f>
        <v>8.7962962962962958</v>
      </c>
      <c r="D66" s="45">
        <v>170</v>
      </c>
      <c r="E66" s="14"/>
    </row>
    <row r="67" spans="1:5" ht="13.5" thickBot="1" x14ac:dyDescent="0.25">
      <c r="A67" s="39"/>
      <c r="B67" s="16"/>
      <c r="C67" s="16"/>
      <c r="D67" s="44"/>
      <c r="E67" s="16"/>
    </row>
    <row r="68" spans="1:5" ht="21.75" thickBot="1" x14ac:dyDescent="0.25">
      <c r="A68" s="17" t="s">
        <v>4</v>
      </c>
      <c r="B68" s="3">
        <v>200</v>
      </c>
      <c r="D68" s="16"/>
      <c r="E68" s="16"/>
    </row>
    <row r="71" spans="1:5" x14ac:dyDescent="0.2">
      <c r="A71" s="55"/>
      <c r="B71" s="54"/>
      <c r="C71" s="54"/>
      <c r="D71" s="54"/>
    </row>
    <row r="72" spans="1:5" x14ac:dyDescent="0.2">
      <c r="A72" s="55"/>
      <c r="B72" s="54"/>
      <c r="C72" s="54"/>
      <c r="D72" s="54"/>
    </row>
    <row r="73" spans="1:5" x14ac:dyDescent="0.2">
      <c r="A73" s="55"/>
      <c r="B73" s="54"/>
      <c r="C73" s="54"/>
      <c r="D73" s="54"/>
    </row>
    <row r="74" spans="1:5" x14ac:dyDescent="0.2">
      <c r="A74" s="55"/>
      <c r="B74" s="54"/>
      <c r="C74" s="54"/>
      <c r="D74" s="54"/>
    </row>
    <row r="75" spans="1:5" x14ac:dyDescent="0.2">
      <c r="A75" s="55"/>
      <c r="B75" s="54"/>
      <c r="C75" s="54"/>
      <c r="D75" s="54"/>
    </row>
    <row r="76" spans="1:5" x14ac:dyDescent="0.2">
      <c r="A76" s="55"/>
      <c r="B76" s="54"/>
      <c r="C76" s="54"/>
      <c r="D76" s="54"/>
    </row>
    <row r="77" spans="1:5" x14ac:dyDescent="0.2">
      <c r="A77" s="55"/>
      <c r="B77" s="54"/>
      <c r="C77" s="54"/>
      <c r="D77" s="54"/>
    </row>
    <row r="78" spans="1:5" x14ac:dyDescent="0.2">
      <c r="A78" s="55"/>
      <c r="B78" s="54"/>
      <c r="C78" s="54"/>
      <c r="D78" s="54"/>
    </row>
    <row r="79" spans="1:5" x14ac:dyDescent="0.2">
      <c r="A79" s="55"/>
      <c r="B79" s="54"/>
      <c r="C79" s="54"/>
      <c r="D79" s="54"/>
    </row>
    <row r="80" spans="1:5" x14ac:dyDescent="0.2">
      <c r="A80" s="55"/>
      <c r="B80" s="54"/>
      <c r="C80" s="54"/>
      <c r="D80" s="54"/>
    </row>
    <row r="81" spans="1:4" x14ac:dyDescent="0.2">
      <c r="A81" s="55"/>
      <c r="B81" s="54"/>
      <c r="C81" s="54"/>
      <c r="D81" s="54"/>
    </row>
    <row r="82" spans="1:4" x14ac:dyDescent="0.2">
      <c r="A82" s="55"/>
      <c r="B82" s="54"/>
      <c r="C82" s="54"/>
      <c r="D82" s="54"/>
    </row>
    <row r="83" spans="1:4" x14ac:dyDescent="0.2">
      <c r="A83" s="55"/>
      <c r="B83" s="54"/>
      <c r="C83" s="54"/>
      <c r="D83" s="54"/>
    </row>
    <row r="84" spans="1:4" x14ac:dyDescent="0.2">
      <c r="A84" s="55"/>
      <c r="B84" s="54"/>
      <c r="C84" s="54"/>
      <c r="D84" s="54"/>
    </row>
    <row r="85" spans="1:4" x14ac:dyDescent="0.2">
      <c r="A85" s="55"/>
      <c r="B85" s="54"/>
      <c r="C85" s="54"/>
      <c r="D85" s="54"/>
    </row>
    <row r="86" spans="1:4" x14ac:dyDescent="0.2">
      <c r="A86" s="55"/>
      <c r="B86" s="54"/>
      <c r="C86" s="54"/>
      <c r="D86" s="54"/>
    </row>
    <row r="87" spans="1:4" x14ac:dyDescent="0.2">
      <c r="A87" s="55"/>
      <c r="B87" s="54"/>
      <c r="C87" s="54"/>
      <c r="D87" s="54"/>
    </row>
    <row r="88" spans="1:4" x14ac:dyDescent="0.2">
      <c r="A88" s="55"/>
      <c r="B88" s="54"/>
      <c r="C88" s="54"/>
      <c r="D88" s="54"/>
    </row>
  </sheetData>
  <mergeCells count="30">
    <mergeCell ref="B51:D51"/>
    <mergeCell ref="A52:D52"/>
    <mergeCell ref="B41:D41"/>
    <mergeCell ref="A42:E42"/>
    <mergeCell ref="A47:A50"/>
    <mergeCell ref="B47:D47"/>
    <mergeCell ref="B48:D48"/>
    <mergeCell ref="B49:D49"/>
    <mergeCell ref="B50:D50"/>
    <mergeCell ref="B30:D30"/>
    <mergeCell ref="A32:E32"/>
    <mergeCell ref="A37:A40"/>
    <mergeCell ref="B37:D37"/>
    <mergeCell ref="B38:D38"/>
    <mergeCell ref="B39:D39"/>
    <mergeCell ref="B40:D40"/>
    <mergeCell ref="B19:D19"/>
    <mergeCell ref="A21:E21"/>
    <mergeCell ref="A25:A29"/>
    <mergeCell ref="B25:D25"/>
    <mergeCell ref="B26:D26"/>
    <mergeCell ref="B27:D27"/>
    <mergeCell ref="B28:D28"/>
    <mergeCell ref="B29:D29"/>
    <mergeCell ref="A1:E1"/>
    <mergeCell ref="A15:A18"/>
    <mergeCell ref="B15:D15"/>
    <mergeCell ref="B16:D16"/>
    <mergeCell ref="B17:D17"/>
    <mergeCell ref="B18:D18"/>
  </mergeCells>
  <pageMargins left="0" right="0" top="0" bottom="0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78"/>
  <sheetViews>
    <sheetView topLeftCell="A31" workbookViewId="0">
      <selection activeCell="B63" sqref="B63:B66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0.5703125" style="42" bestFit="1" customWidth="1"/>
    <col min="7" max="10" width="9.140625" style="18"/>
    <col min="11" max="16384" width="9.140625" style="1"/>
  </cols>
  <sheetData>
    <row r="1" spans="1:5" ht="20.100000000000001" customHeight="1" x14ac:dyDescent="0.2">
      <c r="A1" s="205" t="s">
        <v>8</v>
      </c>
      <c r="B1" s="205"/>
      <c r="C1" s="205"/>
      <c r="D1" s="205"/>
      <c r="E1" s="205"/>
    </row>
    <row r="2" spans="1:5" ht="30" customHeight="1" x14ac:dyDescent="0.2">
      <c r="A2" s="66" t="s">
        <v>9</v>
      </c>
      <c r="B2" s="66" t="s">
        <v>10</v>
      </c>
      <c r="C2" s="66" t="s">
        <v>11</v>
      </c>
      <c r="D2" s="66" t="s">
        <v>12</v>
      </c>
      <c r="E2" s="66" t="s">
        <v>13</v>
      </c>
    </row>
    <row r="3" spans="1:5" ht="30" customHeight="1" x14ac:dyDescent="0.2">
      <c r="A3" s="57" t="s">
        <v>85</v>
      </c>
      <c r="B3" s="58"/>
      <c r="C3" s="58"/>
      <c r="D3" s="58"/>
      <c r="E3" s="58"/>
    </row>
    <row r="4" spans="1:5" ht="19.899999999999999" customHeight="1" x14ac:dyDescent="0.2">
      <c r="A4" s="59" t="s">
        <v>49</v>
      </c>
      <c r="B4" s="56" t="s">
        <v>17</v>
      </c>
      <c r="C4" s="60">
        <v>700</v>
      </c>
      <c r="D4" s="61">
        <f>$C$53</f>
        <v>19.444444444444443</v>
      </c>
      <c r="E4" s="62">
        <f>C4*D4</f>
        <v>13611.111111111109</v>
      </c>
    </row>
    <row r="5" spans="1:5" ht="19.899999999999999" customHeight="1" x14ac:dyDescent="0.2">
      <c r="A5" s="59" t="s">
        <v>50</v>
      </c>
      <c r="B5" s="56" t="s">
        <v>17</v>
      </c>
      <c r="C5" s="60">
        <v>700</v>
      </c>
      <c r="D5" s="61">
        <f>$C$54</f>
        <v>15.74074074074074</v>
      </c>
      <c r="E5" s="62">
        <f>C5*D5</f>
        <v>11018.518518518518</v>
      </c>
    </row>
    <row r="6" spans="1:5" ht="30" customHeight="1" x14ac:dyDescent="0.2">
      <c r="A6" s="57" t="s">
        <v>15</v>
      </c>
      <c r="B6" s="56"/>
      <c r="C6" s="60"/>
      <c r="D6" s="61"/>
      <c r="E6" s="62"/>
    </row>
    <row r="7" spans="1:5" ht="19.899999999999999" customHeight="1" x14ac:dyDescent="0.2">
      <c r="A7" s="59" t="s">
        <v>49</v>
      </c>
      <c r="B7" s="56" t="s">
        <v>17</v>
      </c>
      <c r="C7" s="60">
        <v>700</v>
      </c>
      <c r="D7" s="61">
        <f>$C$53</f>
        <v>19.444444444444443</v>
      </c>
      <c r="E7" s="62">
        <f>C7*D7</f>
        <v>13611.111111111109</v>
      </c>
    </row>
    <row r="8" spans="1:5" ht="19.899999999999999" customHeight="1" x14ac:dyDescent="0.2">
      <c r="A8" s="59" t="s">
        <v>50</v>
      </c>
      <c r="B8" s="56" t="s">
        <v>17</v>
      </c>
      <c r="C8" s="60">
        <v>700</v>
      </c>
      <c r="D8" s="61">
        <f>$C$54</f>
        <v>15.74074074074074</v>
      </c>
      <c r="E8" s="62">
        <f>C8*D8</f>
        <v>11018.518518518518</v>
      </c>
    </row>
    <row r="9" spans="1:5" ht="50.1" customHeight="1" x14ac:dyDescent="0.2">
      <c r="A9" s="57" t="s">
        <v>16</v>
      </c>
      <c r="B9" s="56"/>
      <c r="C9" s="60"/>
      <c r="D9" s="61"/>
      <c r="E9" s="62"/>
    </row>
    <row r="10" spans="1:5" ht="19.899999999999999" customHeight="1" x14ac:dyDescent="0.2">
      <c r="A10" s="59" t="s">
        <v>49</v>
      </c>
      <c r="B10" s="56" t="s">
        <v>17</v>
      </c>
      <c r="C10" s="60">
        <v>700</v>
      </c>
      <c r="D10" s="61">
        <f>$C$53</f>
        <v>19.444444444444443</v>
      </c>
      <c r="E10" s="62">
        <f>C10*D10</f>
        <v>13611.111111111109</v>
      </c>
    </row>
    <row r="11" spans="1:5" ht="19.899999999999999" customHeight="1" x14ac:dyDescent="0.2">
      <c r="A11" s="59" t="s">
        <v>50</v>
      </c>
      <c r="B11" s="56" t="s">
        <v>17</v>
      </c>
      <c r="C11" s="60">
        <v>700</v>
      </c>
      <c r="D11" s="61">
        <f>$C$54</f>
        <v>15.74074074074074</v>
      </c>
      <c r="E11" s="62">
        <f>C11*D11</f>
        <v>11018.518518518518</v>
      </c>
    </row>
    <row r="12" spans="1:5" ht="50.1" customHeight="1" x14ac:dyDescent="0.2">
      <c r="A12" s="57" t="s">
        <v>40</v>
      </c>
      <c r="B12" s="56"/>
      <c r="C12" s="60"/>
      <c r="D12" s="61"/>
      <c r="E12" s="62"/>
    </row>
    <row r="13" spans="1:5" ht="19.899999999999999" customHeight="1" x14ac:dyDescent="0.2">
      <c r="A13" s="59" t="s">
        <v>49</v>
      </c>
      <c r="B13" s="56" t="s">
        <v>17</v>
      </c>
      <c r="C13" s="60">
        <v>700</v>
      </c>
      <c r="D13" s="61">
        <f>$C$53</f>
        <v>19.444444444444443</v>
      </c>
      <c r="E13" s="62">
        <f>C13*D13</f>
        <v>13611.111111111109</v>
      </c>
    </row>
    <row r="14" spans="1:5" ht="19.899999999999999" customHeight="1" x14ac:dyDescent="0.2">
      <c r="A14" s="59" t="s">
        <v>50</v>
      </c>
      <c r="B14" s="56" t="s">
        <v>17</v>
      </c>
      <c r="C14" s="60">
        <v>700</v>
      </c>
      <c r="D14" s="61">
        <f>$C$54</f>
        <v>15.74074074074074</v>
      </c>
      <c r="E14" s="62">
        <f>C14*D14</f>
        <v>11018.518518518518</v>
      </c>
    </row>
    <row r="15" spans="1:5" ht="24.95" customHeight="1" x14ac:dyDescent="0.2">
      <c r="A15" s="206" t="s">
        <v>86</v>
      </c>
      <c r="B15" s="207" t="s">
        <v>18</v>
      </c>
      <c r="C15" s="207"/>
      <c r="D15" s="207"/>
      <c r="E15" s="62">
        <f>E4+E5+E7+E8+E10+E11+E13+E14</f>
        <v>98518.518518518511</v>
      </c>
    </row>
    <row r="16" spans="1:5" ht="24.95" customHeight="1" x14ac:dyDescent="0.2">
      <c r="A16" s="206"/>
      <c r="B16" s="207" t="s">
        <v>19</v>
      </c>
      <c r="C16" s="207"/>
      <c r="D16" s="207"/>
      <c r="E16" s="62">
        <f>E15*0.25</f>
        <v>24629.629629629628</v>
      </c>
    </row>
    <row r="17" spans="1:6" ht="24.95" customHeight="1" x14ac:dyDescent="0.2">
      <c r="A17" s="206"/>
      <c r="B17" s="207" t="s">
        <v>20</v>
      </c>
      <c r="C17" s="207"/>
      <c r="D17" s="207"/>
      <c r="E17" s="62">
        <f>SUM(E15:E16)</f>
        <v>123148.14814814815</v>
      </c>
    </row>
    <row r="18" spans="1:6" ht="24.95" customHeight="1" x14ac:dyDescent="0.2">
      <c r="A18" s="206"/>
      <c r="B18" s="207" t="s">
        <v>21</v>
      </c>
      <c r="C18" s="207"/>
      <c r="D18" s="207"/>
      <c r="E18" s="62">
        <f>E17*0.2</f>
        <v>24629.629629629631</v>
      </c>
    </row>
    <row r="19" spans="1:6" ht="24.95" customHeight="1" x14ac:dyDescent="0.2">
      <c r="A19" s="64" t="s">
        <v>22</v>
      </c>
      <c r="B19" s="202"/>
      <c r="C19" s="202"/>
      <c r="D19" s="202"/>
      <c r="E19" s="65">
        <f>SUM(E17:E18)</f>
        <v>147777.77777777778</v>
      </c>
    </row>
    <row r="20" spans="1:6" x14ac:dyDescent="0.2">
      <c r="A20" s="8"/>
      <c r="B20" s="9"/>
      <c r="C20" s="9"/>
      <c r="D20" s="9"/>
      <c r="E20" s="9"/>
    </row>
    <row r="21" spans="1:6" ht="31.15" customHeight="1" x14ac:dyDescent="0.2">
      <c r="A21" s="205" t="s">
        <v>84</v>
      </c>
      <c r="B21" s="205"/>
      <c r="C21" s="205"/>
      <c r="D21" s="205"/>
      <c r="E21" s="205"/>
    </row>
    <row r="22" spans="1:6" ht="24.95" customHeight="1" x14ac:dyDescent="0.2">
      <c r="A22" s="56" t="s">
        <v>9</v>
      </c>
      <c r="B22" s="56" t="s">
        <v>10</v>
      </c>
      <c r="C22" s="56" t="s">
        <v>11</v>
      </c>
      <c r="D22" s="56" t="s">
        <v>12</v>
      </c>
      <c r="E22" s="56" t="s">
        <v>13</v>
      </c>
    </row>
    <row r="23" spans="1:6" ht="24.95" customHeight="1" x14ac:dyDescent="0.2">
      <c r="A23" s="67" t="s">
        <v>49</v>
      </c>
      <c r="B23" s="56" t="s">
        <v>17</v>
      </c>
      <c r="C23" s="63">
        <v>250</v>
      </c>
      <c r="D23" s="61">
        <f>C53</f>
        <v>19.444444444444443</v>
      </c>
      <c r="E23" s="62">
        <f>C23*D23</f>
        <v>4861.1111111111104</v>
      </c>
      <c r="F23" s="42" t="s">
        <v>78</v>
      </c>
    </row>
    <row r="24" spans="1:6" ht="24.95" customHeight="1" x14ac:dyDescent="0.2">
      <c r="A24" s="67" t="s">
        <v>50</v>
      </c>
      <c r="B24" s="56" t="s">
        <v>17</v>
      </c>
      <c r="C24" s="63">
        <v>500</v>
      </c>
      <c r="D24" s="61">
        <f>C54</f>
        <v>15.74074074074074</v>
      </c>
      <c r="E24" s="62">
        <f>C24*D24</f>
        <v>7870.3703703703704</v>
      </c>
    </row>
    <row r="25" spans="1:6" ht="24.95" customHeight="1" x14ac:dyDescent="0.2">
      <c r="A25" s="206" t="s">
        <v>86</v>
      </c>
      <c r="B25" s="207" t="s">
        <v>54</v>
      </c>
      <c r="C25" s="207"/>
      <c r="D25" s="207"/>
      <c r="E25" s="62">
        <f>E23+E24</f>
        <v>12731.481481481482</v>
      </c>
    </row>
    <row r="26" spans="1:6" ht="24.95" customHeight="1" x14ac:dyDescent="0.2">
      <c r="A26" s="206"/>
      <c r="B26" s="207" t="s">
        <v>58</v>
      </c>
      <c r="C26" s="207"/>
      <c r="D26" s="207"/>
      <c r="E26" s="62">
        <f>E25*0.4</f>
        <v>5092.5925925925931</v>
      </c>
    </row>
    <row r="27" spans="1:6" ht="24.95" customHeight="1" x14ac:dyDescent="0.2">
      <c r="A27" s="206"/>
      <c r="B27" s="207" t="s">
        <v>57</v>
      </c>
      <c r="C27" s="207"/>
      <c r="D27" s="207"/>
      <c r="E27" s="62">
        <v>400</v>
      </c>
    </row>
    <row r="28" spans="1:6" ht="24.95" customHeight="1" x14ac:dyDescent="0.2">
      <c r="A28" s="206"/>
      <c r="B28" s="207" t="s">
        <v>20</v>
      </c>
      <c r="C28" s="207"/>
      <c r="D28" s="207"/>
      <c r="E28" s="62">
        <f>SUM(E25:E27)</f>
        <v>18224.074074074073</v>
      </c>
    </row>
    <row r="29" spans="1:6" ht="24.95" customHeight="1" x14ac:dyDescent="0.2">
      <c r="A29" s="206"/>
      <c r="B29" s="207" t="s">
        <v>21</v>
      </c>
      <c r="C29" s="207"/>
      <c r="D29" s="207"/>
      <c r="E29" s="62">
        <f>E28*0.2</f>
        <v>3644.8148148148148</v>
      </c>
    </row>
    <row r="30" spans="1:6" ht="24.95" customHeight="1" x14ac:dyDescent="0.2">
      <c r="A30" s="64" t="s">
        <v>26</v>
      </c>
      <c r="B30" s="202"/>
      <c r="C30" s="202"/>
      <c r="D30" s="202"/>
      <c r="E30" s="65">
        <f>SUM(E28:E29)</f>
        <v>21868.888888888887</v>
      </c>
    </row>
    <row r="31" spans="1:6" ht="24.95" customHeight="1" x14ac:dyDescent="0.2">
      <c r="A31" s="33"/>
      <c r="B31" s="34"/>
      <c r="C31" s="34"/>
      <c r="D31" s="34"/>
      <c r="E31" s="35"/>
    </row>
    <row r="32" spans="1:6" ht="24" customHeight="1" x14ac:dyDescent="0.2">
      <c r="A32" s="205" t="s">
        <v>82</v>
      </c>
      <c r="B32" s="205"/>
      <c r="C32" s="205"/>
      <c r="D32" s="205"/>
      <c r="E32" s="205"/>
    </row>
    <row r="33" spans="1:6" ht="24.95" customHeight="1" x14ac:dyDescent="0.2">
      <c r="A33" s="56" t="s">
        <v>9</v>
      </c>
      <c r="B33" s="56" t="s">
        <v>10</v>
      </c>
      <c r="C33" s="56" t="s">
        <v>11</v>
      </c>
      <c r="D33" s="56" t="s">
        <v>12</v>
      </c>
      <c r="E33" s="56" t="s">
        <v>13</v>
      </c>
    </row>
    <row r="34" spans="1:6" ht="24.95" customHeight="1" x14ac:dyDescent="0.2">
      <c r="A34" s="67" t="s">
        <v>23</v>
      </c>
      <c r="B34" s="56" t="s">
        <v>17</v>
      </c>
      <c r="C34" s="60">
        <v>252</v>
      </c>
      <c r="D34" s="61">
        <f>C56</f>
        <v>9.2592592592592595</v>
      </c>
      <c r="E34" s="62">
        <f>C34*D34</f>
        <v>2333.3333333333335</v>
      </c>
    </row>
    <row r="35" spans="1:6" ht="24.95" customHeight="1" x14ac:dyDescent="0.2">
      <c r="A35" s="67" t="s">
        <v>24</v>
      </c>
      <c r="B35" s="56" t="s">
        <v>17</v>
      </c>
      <c r="C35" s="60">
        <v>50</v>
      </c>
      <c r="D35" s="61">
        <f>C53</f>
        <v>19.444444444444443</v>
      </c>
      <c r="E35" s="62">
        <f>C35*D35</f>
        <v>972.22222222222217</v>
      </c>
    </row>
    <row r="36" spans="1:6" ht="24.95" customHeight="1" x14ac:dyDescent="0.2">
      <c r="A36" s="67" t="s">
        <v>25</v>
      </c>
      <c r="B36" s="56"/>
      <c r="C36" s="68"/>
      <c r="D36" s="68"/>
      <c r="E36" s="62">
        <f>SUM(E34:E35)</f>
        <v>3305.5555555555557</v>
      </c>
    </row>
    <row r="37" spans="1:6" ht="24.95" customHeight="1" x14ac:dyDescent="0.2">
      <c r="A37" s="206" t="s">
        <v>86</v>
      </c>
      <c r="B37" s="207" t="s">
        <v>79</v>
      </c>
      <c r="C37" s="207"/>
      <c r="D37" s="207"/>
      <c r="E37" s="62">
        <f>3*(E34+E35)</f>
        <v>9916.6666666666679</v>
      </c>
    </row>
    <row r="38" spans="1:6" ht="24.95" customHeight="1" x14ac:dyDescent="0.2">
      <c r="A38" s="206"/>
      <c r="B38" s="207" t="s">
        <v>19</v>
      </c>
      <c r="C38" s="207"/>
      <c r="D38" s="207"/>
      <c r="E38" s="62">
        <f>E37*0.25</f>
        <v>2479.166666666667</v>
      </c>
    </row>
    <row r="39" spans="1:6" ht="24.95" customHeight="1" x14ac:dyDescent="0.2">
      <c r="A39" s="206"/>
      <c r="B39" s="207" t="s">
        <v>20</v>
      </c>
      <c r="C39" s="207"/>
      <c r="D39" s="207"/>
      <c r="E39" s="62">
        <f>SUM(E37:E38)</f>
        <v>12395.833333333336</v>
      </c>
    </row>
    <row r="40" spans="1:6" ht="24.95" customHeight="1" x14ac:dyDescent="0.2">
      <c r="A40" s="206"/>
      <c r="B40" s="207" t="s">
        <v>21</v>
      </c>
      <c r="C40" s="207"/>
      <c r="D40" s="207"/>
      <c r="E40" s="62">
        <f>E39*0.2</f>
        <v>2479.1666666666674</v>
      </c>
    </row>
    <row r="41" spans="1:6" ht="24.95" customHeight="1" x14ac:dyDescent="0.2">
      <c r="A41" s="64" t="s">
        <v>39</v>
      </c>
      <c r="B41" s="202"/>
      <c r="C41" s="202"/>
      <c r="D41" s="202"/>
      <c r="E41" s="65">
        <f>SUM(E39:E40)</f>
        <v>14875.000000000004</v>
      </c>
    </row>
    <row r="42" spans="1:6" ht="24.95" customHeight="1" thickBot="1" x14ac:dyDescent="0.25">
      <c r="A42" s="203" t="s">
        <v>61</v>
      </c>
      <c r="B42" s="204"/>
      <c r="C42" s="204"/>
      <c r="D42" s="204"/>
      <c r="E42" s="26">
        <f>E19+E41+E30</f>
        <v>184521.66666666666</v>
      </c>
      <c r="F42" s="42">
        <v>136557.66699999999</v>
      </c>
    </row>
    <row r="43" spans="1:6" x14ac:dyDescent="0.2">
      <c r="A43" s="12"/>
      <c r="E43" s="30"/>
    </row>
    <row r="44" spans="1:6" x14ac:dyDescent="0.2">
      <c r="A44" s="12"/>
    </row>
    <row r="45" spans="1:6" x14ac:dyDescent="0.2">
      <c r="A45" s="12"/>
    </row>
    <row r="46" spans="1:6" x14ac:dyDescent="0.2">
      <c r="A46" s="12"/>
      <c r="E46" s="31"/>
    </row>
    <row r="47" spans="1:6" x14ac:dyDescent="0.2">
      <c r="A47" s="12"/>
    </row>
    <row r="48" spans="1:6" x14ac:dyDescent="0.2">
      <c r="A48" s="12"/>
    </row>
    <row r="49" spans="1:5" x14ac:dyDescent="0.2">
      <c r="A49" s="12"/>
    </row>
    <row r="50" spans="1:5" x14ac:dyDescent="0.2">
      <c r="A50" s="12"/>
    </row>
    <row r="51" spans="1:5" ht="26.25" thickBot="1" x14ac:dyDescent="0.25">
      <c r="A51" s="12"/>
      <c r="B51" s="43" t="s">
        <v>76</v>
      </c>
      <c r="D51" s="43"/>
    </row>
    <row r="52" spans="1:5" ht="64.5" customHeight="1" thickBot="1" x14ac:dyDescent="0.25">
      <c r="A52" s="2" t="s">
        <v>0</v>
      </c>
      <c r="B52" s="2" t="s">
        <v>1</v>
      </c>
      <c r="C52" s="3" t="s">
        <v>2</v>
      </c>
      <c r="D52" s="44" t="s">
        <v>77</v>
      </c>
      <c r="E52" s="16"/>
    </row>
    <row r="53" spans="1:5" ht="14.25" customHeight="1" thickBot="1" x14ac:dyDescent="0.25">
      <c r="A53" s="21" t="s">
        <v>49</v>
      </c>
      <c r="B53" s="25">
        <f>400+10+10</f>
        <v>420</v>
      </c>
      <c r="C53" s="6">
        <f>B53/21.6</f>
        <v>19.444444444444443</v>
      </c>
      <c r="D53" s="45">
        <v>320</v>
      </c>
      <c r="E53" s="14"/>
    </row>
    <row r="54" spans="1:5" ht="13.5" thickBot="1" x14ac:dyDescent="0.25">
      <c r="A54" s="21" t="s">
        <v>50</v>
      </c>
      <c r="B54" s="25">
        <f>320+10+10</f>
        <v>340</v>
      </c>
      <c r="C54" s="6">
        <f>B54/21.6</f>
        <v>15.74074074074074</v>
      </c>
      <c r="D54" s="45">
        <v>290</v>
      </c>
      <c r="E54" s="14"/>
    </row>
    <row r="55" spans="1:5" ht="13.5" thickBot="1" x14ac:dyDescent="0.25">
      <c r="A55" s="21" t="s">
        <v>51</v>
      </c>
      <c r="B55" s="25">
        <f>250+10+10</f>
        <v>270</v>
      </c>
      <c r="C55" s="6">
        <f>B55/21.6</f>
        <v>12.5</v>
      </c>
      <c r="D55" s="45">
        <v>240</v>
      </c>
      <c r="E55" s="14"/>
    </row>
    <row r="56" spans="1:5" ht="13.5" thickBot="1" x14ac:dyDescent="0.25">
      <c r="A56" s="21" t="s">
        <v>52</v>
      </c>
      <c r="B56" s="25">
        <f>180+10+10</f>
        <v>200</v>
      </c>
      <c r="C56" s="6">
        <f>B56/21.6</f>
        <v>9.2592592592592595</v>
      </c>
      <c r="D56" s="45">
        <v>170</v>
      </c>
      <c r="E56" s="14"/>
    </row>
    <row r="57" spans="1:5" ht="13.5" thickBot="1" x14ac:dyDescent="0.25">
      <c r="A57" s="39"/>
      <c r="B57" s="16"/>
      <c r="C57" s="16"/>
      <c r="D57" s="44"/>
      <c r="E57" s="16"/>
    </row>
    <row r="58" spans="1:5" ht="21.75" thickBot="1" x14ac:dyDescent="0.25">
      <c r="A58" s="17" t="s">
        <v>4</v>
      </c>
      <c r="B58" s="3">
        <v>200</v>
      </c>
      <c r="D58" s="16"/>
      <c r="E58" s="16"/>
    </row>
    <row r="61" spans="1:5" x14ac:dyDescent="0.2">
      <c r="A61" s="55"/>
      <c r="B61" s="54"/>
      <c r="C61" s="54"/>
      <c r="D61" s="54"/>
    </row>
    <row r="62" spans="1:5" x14ac:dyDescent="0.2">
      <c r="A62" s="55"/>
      <c r="B62" s="54"/>
      <c r="C62" s="54"/>
      <c r="D62" s="54"/>
    </row>
    <row r="63" spans="1:5" x14ac:dyDescent="0.2">
      <c r="A63" s="55"/>
      <c r="B63" s="54"/>
      <c r="C63" s="54"/>
      <c r="D63" s="54"/>
    </row>
    <row r="64" spans="1:5" x14ac:dyDescent="0.2">
      <c r="A64" s="55"/>
      <c r="B64" s="54"/>
      <c r="C64" s="54"/>
      <c r="D64" s="54"/>
    </row>
    <row r="65" spans="1:4" x14ac:dyDescent="0.2">
      <c r="A65" s="55"/>
      <c r="B65" s="54"/>
      <c r="C65" s="54"/>
      <c r="D65" s="54"/>
    </row>
    <row r="66" spans="1:4" x14ac:dyDescent="0.2">
      <c r="A66" s="55"/>
      <c r="B66" s="54"/>
      <c r="C66" s="54"/>
      <c r="D66" s="54"/>
    </row>
    <row r="67" spans="1:4" x14ac:dyDescent="0.2">
      <c r="A67" s="55"/>
      <c r="B67" s="54"/>
      <c r="C67" s="54"/>
      <c r="D67" s="54"/>
    </row>
    <row r="68" spans="1:4" x14ac:dyDescent="0.2">
      <c r="A68" s="55"/>
      <c r="B68" s="54"/>
      <c r="C68" s="54"/>
      <c r="D68" s="54"/>
    </row>
    <row r="69" spans="1:4" x14ac:dyDescent="0.2">
      <c r="A69" s="55"/>
      <c r="B69" s="54"/>
      <c r="C69" s="54"/>
      <c r="D69" s="54"/>
    </row>
    <row r="70" spans="1:4" x14ac:dyDescent="0.2">
      <c r="A70" s="55"/>
      <c r="B70" s="54"/>
      <c r="C70" s="54"/>
      <c r="D70" s="54"/>
    </row>
    <row r="71" spans="1:4" x14ac:dyDescent="0.2">
      <c r="A71" s="55"/>
      <c r="B71" s="54"/>
      <c r="C71" s="54"/>
      <c r="D71" s="54"/>
    </row>
    <row r="72" spans="1:4" x14ac:dyDescent="0.2">
      <c r="A72" s="55"/>
      <c r="B72" s="54"/>
      <c r="C72" s="54"/>
      <c r="D72" s="54"/>
    </row>
    <row r="73" spans="1:4" x14ac:dyDescent="0.2">
      <c r="A73" s="55"/>
      <c r="B73" s="54"/>
      <c r="C73" s="54"/>
      <c r="D73" s="54"/>
    </row>
    <row r="74" spans="1:4" x14ac:dyDescent="0.2">
      <c r="A74" s="55"/>
      <c r="B74" s="54"/>
      <c r="C74" s="54"/>
      <c r="D74" s="54"/>
    </row>
    <row r="75" spans="1:4" x14ac:dyDescent="0.2">
      <c r="A75" s="55"/>
      <c r="B75" s="54"/>
      <c r="C75" s="54"/>
      <c r="D75" s="54"/>
    </row>
    <row r="76" spans="1:4" x14ac:dyDescent="0.2">
      <c r="A76" s="55"/>
      <c r="B76" s="54"/>
      <c r="C76" s="54"/>
      <c r="D76" s="54"/>
    </row>
    <row r="77" spans="1:4" x14ac:dyDescent="0.2">
      <c r="A77" s="55"/>
      <c r="B77" s="54"/>
      <c r="C77" s="54"/>
      <c r="D77" s="54"/>
    </row>
    <row r="78" spans="1:4" x14ac:dyDescent="0.2">
      <c r="A78" s="55"/>
      <c r="B78" s="54"/>
      <c r="C78" s="54"/>
      <c r="D78" s="54"/>
    </row>
  </sheetData>
  <mergeCells count="23">
    <mergeCell ref="A42:D42"/>
    <mergeCell ref="B41:D41"/>
    <mergeCell ref="B30:D30"/>
    <mergeCell ref="A32:E32"/>
    <mergeCell ref="A37:A40"/>
    <mergeCell ref="B37:D37"/>
    <mergeCell ref="B38:D38"/>
    <mergeCell ref="B39:D39"/>
    <mergeCell ref="B40:D40"/>
    <mergeCell ref="B19:D19"/>
    <mergeCell ref="A21:E21"/>
    <mergeCell ref="A25:A29"/>
    <mergeCell ref="B25:D25"/>
    <mergeCell ref="B26:D26"/>
    <mergeCell ref="B27:D27"/>
    <mergeCell ref="B28:D28"/>
    <mergeCell ref="B29:D29"/>
    <mergeCell ref="A1:E1"/>
    <mergeCell ref="A15:A18"/>
    <mergeCell ref="B15:D15"/>
    <mergeCell ref="B16:D16"/>
    <mergeCell ref="B17:D17"/>
    <mergeCell ref="B18:D18"/>
  </mergeCells>
  <pageMargins left="0" right="0" top="0" bottom="0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59"/>
  <sheetViews>
    <sheetView topLeftCell="A31" workbookViewId="0">
      <selection activeCell="B63" sqref="B63:B66"/>
    </sheetView>
  </sheetViews>
  <sheetFormatPr defaultRowHeight="12.75" x14ac:dyDescent="0.2"/>
  <cols>
    <col min="1" max="1" width="35.140625" style="18" customWidth="1"/>
    <col min="2" max="2" width="11.7109375" style="11" customWidth="1"/>
    <col min="3" max="3" width="13.85546875" style="11" customWidth="1"/>
    <col min="4" max="4" width="13.42578125" style="11" customWidth="1"/>
    <col min="5" max="5" width="15.7109375" style="11" customWidth="1"/>
    <col min="6" max="6" width="11.28515625" style="46" customWidth="1"/>
    <col min="7" max="16384" width="9.140625" style="1"/>
  </cols>
  <sheetData>
    <row r="1" spans="1:6" ht="20.100000000000001" customHeight="1" thickBot="1" x14ac:dyDescent="0.25">
      <c r="A1" s="187" t="s">
        <v>8</v>
      </c>
      <c r="B1" s="187"/>
      <c r="C1" s="187"/>
      <c r="D1" s="187"/>
      <c r="E1" s="187"/>
    </row>
    <row r="2" spans="1:6" ht="30" customHeight="1" thickBot="1" x14ac:dyDescent="0.25">
      <c r="A2" s="19" t="s">
        <v>9</v>
      </c>
      <c r="B2" s="20" t="s">
        <v>10</v>
      </c>
      <c r="C2" s="20" t="s">
        <v>11</v>
      </c>
      <c r="D2" s="20" t="s">
        <v>12</v>
      </c>
      <c r="E2" s="20" t="s">
        <v>13</v>
      </c>
    </row>
    <row r="3" spans="1:6" ht="30" customHeight="1" thickBot="1" x14ac:dyDescent="0.25">
      <c r="A3" s="21" t="s">
        <v>14</v>
      </c>
      <c r="B3" s="22" t="s">
        <v>17</v>
      </c>
      <c r="C3" s="5">
        <v>700</v>
      </c>
      <c r="D3" s="6">
        <f>C53</f>
        <v>19.074074074074073</v>
      </c>
      <c r="E3" s="7">
        <f>C3*D3</f>
        <v>13351.85185185185</v>
      </c>
      <c r="F3" s="46" t="s">
        <v>75</v>
      </c>
    </row>
    <row r="4" spans="1:6" ht="30" customHeight="1" thickBot="1" x14ac:dyDescent="0.25">
      <c r="A4" s="21" t="s">
        <v>15</v>
      </c>
      <c r="B4" s="22" t="s">
        <v>17</v>
      </c>
      <c r="C4" s="5">
        <v>800</v>
      </c>
      <c r="D4" s="6">
        <f>C53</f>
        <v>19.074074074074073</v>
      </c>
      <c r="E4" s="7">
        <f>C4*D4</f>
        <v>15259.259259259257</v>
      </c>
    </row>
    <row r="5" spans="1:6" ht="50.1" customHeight="1" thickBot="1" x14ac:dyDescent="0.25">
      <c r="A5" s="21" t="s">
        <v>16</v>
      </c>
      <c r="B5" s="22" t="s">
        <v>17</v>
      </c>
      <c r="C5" s="5">
        <v>1400</v>
      </c>
      <c r="D5" s="6">
        <f>C53</f>
        <v>19.074074074074073</v>
      </c>
      <c r="E5" s="7">
        <f>C5*D5</f>
        <v>26703.703703703701</v>
      </c>
    </row>
    <row r="6" spans="1:6" ht="50.1" customHeight="1" thickBot="1" x14ac:dyDescent="0.25">
      <c r="A6" s="50" t="s">
        <v>40</v>
      </c>
      <c r="B6" s="51" t="s">
        <v>17</v>
      </c>
      <c r="C6" s="41">
        <v>0</v>
      </c>
      <c r="D6" s="52">
        <f>C53</f>
        <v>19.074074074074073</v>
      </c>
      <c r="E6" s="53">
        <f>C6*D6</f>
        <v>0</v>
      </c>
      <c r="F6" s="46">
        <f>SUM(C3:C6)</f>
        <v>2900</v>
      </c>
    </row>
    <row r="7" spans="1:6" ht="24.95" customHeight="1" thickBot="1" x14ac:dyDescent="0.25">
      <c r="A7" s="188" t="s">
        <v>27</v>
      </c>
      <c r="B7" s="191" t="s">
        <v>18</v>
      </c>
      <c r="C7" s="192"/>
      <c r="D7" s="193"/>
      <c r="E7" s="7">
        <f>SUM(E3:E6)</f>
        <v>55314.81481481481</v>
      </c>
    </row>
    <row r="8" spans="1:6" ht="24.95" customHeight="1" thickBot="1" x14ac:dyDescent="0.25">
      <c r="A8" s="189"/>
      <c r="B8" s="191" t="s">
        <v>19</v>
      </c>
      <c r="C8" s="192"/>
      <c r="D8" s="193"/>
      <c r="E8" s="7">
        <f>E7*0.25</f>
        <v>13828.703703703703</v>
      </c>
    </row>
    <row r="9" spans="1:6" ht="24.95" customHeight="1" thickBot="1" x14ac:dyDescent="0.25">
      <c r="A9" s="189"/>
      <c r="B9" s="191" t="s">
        <v>20</v>
      </c>
      <c r="C9" s="192"/>
      <c r="D9" s="193"/>
      <c r="E9" s="7">
        <f>SUM(E7:E8)</f>
        <v>69143.518518518511</v>
      </c>
    </row>
    <row r="10" spans="1:6" ht="24.95" customHeight="1" thickBot="1" x14ac:dyDescent="0.25">
      <c r="A10" s="190"/>
      <c r="B10" s="191" t="s">
        <v>21</v>
      </c>
      <c r="C10" s="192"/>
      <c r="D10" s="193"/>
      <c r="E10" s="7">
        <f>E9*0.2</f>
        <v>13828.703703703703</v>
      </c>
    </row>
    <row r="11" spans="1:6" ht="24.95" customHeight="1" thickBot="1" x14ac:dyDescent="0.25">
      <c r="A11" s="23" t="s">
        <v>22</v>
      </c>
      <c r="B11" s="194"/>
      <c r="C11" s="195"/>
      <c r="D11" s="196"/>
      <c r="E11" s="26">
        <f>SUM(E9:E10)</f>
        <v>82972.222222222219</v>
      </c>
    </row>
    <row r="12" spans="1:6" x14ac:dyDescent="0.2">
      <c r="A12" s="8"/>
      <c r="B12" s="9"/>
      <c r="C12" s="9"/>
      <c r="D12" s="9"/>
      <c r="E12" s="9"/>
    </row>
    <row r="13" spans="1:6" ht="24" customHeight="1" thickBot="1" x14ac:dyDescent="0.25">
      <c r="A13" s="187" t="s">
        <v>64</v>
      </c>
      <c r="B13" s="187"/>
      <c r="C13" s="187"/>
      <c r="D13" s="187"/>
      <c r="E13" s="187"/>
    </row>
    <row r="14" spans="1:6" ht="24.95" customHeight="1" thickBot="1" x14ac:dyDescent="0.25">
      <c r="A14" s="19" t="s">
        <v>9</v>
      </c>
      <c r="B14" s="20" t="s">
        <v>10</v>
      </c>
      <c r="C14" s="20" t="s">
        <v>11</v>
      </c>
      <c r="D14" s="20" t="s">
        <v>12</v>
      </c>
      <c r="E14" s="20" t="s">
        <v>13</v>
      </c>
    </row>
    <row r="15" spans="1:6" ht="24.95" customHeight="1" thickBot="1" x14ac:dyDescent="0.25">
      <c r="A15" s="21" t="s">
        <v>49</v>
      </c>
      <c r="B15" s="22" t="s">
        <v>17</v>
      </c>
      <c r="C15" s="41">
        <v>500</v>
      </c>
      <c r="D15" s="6">
        <f>C53</f>
        <v>19.074074074074073</v>
      </c>
      <c r="E15" s="7">
        <f>C15*D15</f>
        <v>9537.0370370370365</v>
      </c>
      <c r="F15" s="42" t="s">
        <v>70</v>
      </c>
    </row>
    <row r="16" spans="1:6" ht="24.95" customHeight="1" thickBot="1" x14ac:dyDescent="0.25">
      <c r="A16" s="21" t="s">
        <v>50</v>
      </c>
      <c r="B16" s="22" t="s">
        <v>17</v>
      </c>
      <c r="C16" s="41">
        <v>500</v>
      </c>
      <c r="D16" s="6">
        <f>C54</f>
        <v>15.25925925925926</v>
      </c>
      <c r="E16" s="7">
        <f>C16*D16</f>
        <v>7629.6296296296296</v>
      </c>
      <c r="F16" s="46">
        <f>SUM(C15:C16)</f>
        <v>1000</v>
      </c>
    </row>
    <row r="17" spans="1:5" ht="24.95" customHeight="1" thickBot="1" x14ac:dyDescent="0.25">
      <c r="A17" s="188" t="s">
        <v>27</v>
      </c>
      <c r="B17" s="191" t="s">
        <v>54</v>
      </c>
      <c r="C17" s="192"/>
      <c r="D17" s="193"/>
      <c r="E17" s="7">
        <f>E15+E16</f>
        <v>17166.666666666664</v>
      </c>
    </row>
    <row r="18" spans="1:5" ht="24.95" customHeight="1" thickBot="1" x14ac:dyDescent="0.25">
      <c r="A18" s="189"/>
      <c r="B18" s="191" t="s">
        <v>58</v>
      </c>
      <c r="C18" s="192"/>
      <c r="D18" s="193"/>
      <c r="E18" s="7">
        <f>E17*0.4</f>
        <v>6866.6666666666661</v>
      </c>
    </row>
    <row r="19" spans="1:5" ht="24.95" customHeight="1" thickBot="1" x14ac:dyDescent="0.25">
      <c r="A19" s="189"/>
      <c r="B19" s="191" t="s">
        <v>57</v>
      </c>
      <c r="C19" s="192"/>
      <c r="D19" s="193"/>
      <c r="E19" s="7">
        <v>400</v>
      </c>
    </row>
    <row r="20" spans="1:5" ht="24.95" customHeight="1" thickBot="1" x14ac:dyDescent="0.25">
      <c r="A20" s="189"/>
      <c r="B20" s="191" t="s">
        <v>20</v>
      </c>
      <c r="C20" s="192"/>
      <c r="D20" s="193"/>
      <c r="E20" s="7">
        <f>SUM(E17:E19)</f>
        <v>24433.333333333328</v>
      </c>
    </row>
    <row r="21" spans="1:5" ht="24.95" customHeight="1" thickBot="1" x14ac:dyDescent="0.25">
      <c r="A21" s="190"/>
      <c r="B21" s="191" t="s">
        <v>21</v>
      </c>
      <c r="C21" s="192"/>
      <c r="D21" s="193"/>
      <c r="E21" s="7">
        <f>E20*0.2</f>
        <v>4886.6666666666661</v>
      </c>
    </row>
    <row r="22" spans="1:5" ht="24.95" customHeight="1" thickBot="1" x14ac:dyDescent="0.25">
      <c r="A22" s="23" t="s">
        <v>26</v>
      </c>
      <c r="B22" s="194"/>
      <c r="C22" s="195"/>
      <c r="D22" s="196"/>
      <c r="E22" s="26">
        <f>SUM(E20:E21)</f>
        <v>29319.999999999993</v>
      </c>
    </row>
    <row r="23" spans="1:5" ht="24.95" customHeight="1" x14ac:dyDescent="0.2">
      <c r="A23" s="33"/>
      <c r="B23" s="34"/>
      <c r="C23" s="34"/>
      <c r="D23" s="34"/>
      <c r="E23" s="35"/>
    </row>
    <row r="24" spans="1:5" ht="24" customHeight="1" thickBot="1" x14ac:dyDescent="0.25">
      <c r="A24" s="187" t="s">
        <v>55</v>
      </c>
      <c r="B24" s="187"/>
      <c r="C24" s="187"/>
      <c r="D24" s="187"/>
      <c r="E24" s="187"/>
    </row>
    <row r="25" spans="1:5" ht="24.95" customHeight="1" thickBot="1" x14ac:dyDescent="0.25">
      <c r="A25" s="19" t="s">
        <v>9</v>
      </c>
      <c r="B25" s="20" t="s">
        <v>10</v>
      </c>
      <c r="C25" s="20" t="s">
        <v>11</v>
      </c>
      <c r="D25" s="20" t="s">
        <v>12</v>
      </c>
      <c r="E25" s="20" t="s">
        <v>13</v>
      </c>
    </row>
    <row r="26" spans="1:5" ht="24.95" customHeight="1" thickBot="1" x14ac:dyDescent="0.25">
      <c r="A26" s="21" t="s">
        <v>23</v>
      </c>
      <c r="B26" s="22" t="s">
        <v>17</v>
      </c>
      <c r="C26" s="5">
        <v>252</v>
      </c>
      <c r="D26" s="6">
        <f>C56</f>
        <v>8.5833333333333321</v>
      </c>
      <c r="E26" s="7">
        <f>C26*D26</f>
        <v>2162.9999999999995</v>
      </c>
    </row>
    <row r="27" spans="1:5" ht="24.95" customHeight="1" thickBot="1" x14ac:dyDescent="0.25">
      <c r="A27" s="21" t="s">
        <v>24</v>
      </c>
      <c r="B27" s="22" t="s">
        <v>17</v>
      </c>
      <c r="C27" s="5">
        <v>50</v>
      </c>
      <c r="D27" s="6">
        <f>C53</f>
        <v>19.074074074074073</v>
      </c>
      <c r="E27" s="7">
        <f>C27*D27</f>
        <v>953.70370370370358</v>
      </c>
    </row>
    <row r="28" spans="1:5" ht="24.95" customHeight="1" thickBot="1" x14ac:dyDescent="0.25">
      <c r="A28" s="21" t="s">
        <v>25</v>
      </c>
      <c r="B28" s="22"/>
      <c r="C28" s="10"/>
      <c r="D28" s="10"/>
      <c r="E28" s="7">
        <f>SUM(E26:E27)</f>
        <v>3116.703703703703</v>
      </c>
    </row>
    <row r="29" spans="1:5" ht="24.95" customHeight="1" thickBot="1" x14ac:dyDescent="0.25">
      <c r="A29" s="188" t="s">
        <v>27</v>
      </c>
      <c r="B29" s="191" t="s">
        <v>79</v>
      </c>
      <c r="C29" s="192"/>
      <c r="D29" s="193"/>
      <c r="E29" s="7">
        <f>3*(E26+E27)</f>
        <v>9350.1111111111095</v>
      </c>
    </row>
    <row r="30" spans="1:5" ht="24.95" customHeight="1" thickBot="1" x14ac:dyDescent="0.25">
      <c r="A30" s="189"/>
      <c r="B30" s="191" t="s">
        <v>19</v>
      </c>
      <c r="C30" s="192"/>
      <c r="D30" s="193"/>
      <c r="E30" s="7">
        <f>E29*0.25</f>
        <v>2337.5277777777774</v>
      </c>
    </row>
    <row r="31" spans="1:5" ht="24.95" customHeight="1" thickBot="1" x14ac:dyDescent="0.25">
      <c r="A31" s="189"/>
      <c r="B31" s="191" t="s">
        <v>20</v>
      </c>
      <c r="C31" s="192"/>
      <c r="D31" s="193"/>
      <c r="E31" s="7">
        <f>SUM(E29:E30)</f>
        <v>11687.638888888887</v>
      </c>
    </row>
    <row r="32" spans="1:5" ht="24.95" customHeight="1" thickBot="1" x14ac:dyDescent="0.25">
      <c r="A32" s="190"/>
      <c r="B32" s="191" t="s">
        <v>21</v>
      </c>
      <c r="C32" s="192"/>
      <c r="D32" s="193"/>
      <c r="E32" s="7">
        <f>E31*0.2</f>
        <v>2337.5277777777774</v>
      </c>
    </row>
    <row r="33" spans="1:6" ht="24.95" customHeight="1" thickBot="1" x14ac:dyDescent="0.25">
      <c r="A33" s="23" t="s">
        <v>39</v>
      </c>
      <c r="B33" s="194"/>
      <c r="C33" s="195"/>
      <c r="D33" s="196"/>
      <c r="E33" s="26">
        <f>SUM(E31:E32)</f>
        <v>14025.166666666664</v>
      </c>
    </row>
    <row r="34" spans="1:6" ht="33.75" customHeight="1" thickBot="1" x14ac:dyDescent="0.25">
      <c r="A34" s="187" t="s">
        <v>68</v>
      </c>
      <c r="B34" s="187"/>
      <c r="C34" s="187"/>
      <c r="D34" s="187"/>
      <c r="E34" s="187"/>
    </row>
    <row r="35" spans="1:6" ht="24.95" customHeight="1" thickBot="1" x14ac:dyDescent="0.25">
      <c r="A35" s="19" t="s">
        <v>9</v>
      </c>
      <c r="B35" s="20" t="s">
        <v>10</v>
      </c>
      <c r="C35" s="20" t="s">
        <v>11</v>
      </c>
      <c r="D35" s="20" t="s">
        <v>12</v>
      </c>
      <c r="E35" s="20" t="s">
        <v>13</v>
      </c>
    </row>
    <row r="36" spans="1:6" ht="66.75" customHeight="1" thickBot="1" x14ac:dyDescent="0.25">
      <c r="A36" s="40" t="s">
        <v>67</v>
      </c>
      <c r="B36" s="19" t="s">
        <v>17</v>
      </c>
      <c r="C36" s="41">
        <v>200</v>
      </c>
      <c r="D36" s="6">
        <f>C53</f>
        <v>19.074074074074073</v>
      </c>
      <c r="E36" s="7">
        <f>C36*D36</f>
        <v>3814.8148148148143</v>
      </c>
      <c r="F36" s="46" t="s">
        <v>72</v>
      </c>
    </row>
    <row r="37" spans="1:6" ht="24.95" customHeight="1" thickBot="1" x14ac:dyDescent="0.25">
      <c r="A37" s="188" t="s">
        <v>27</v>
      </c>
      <c r="B37" s="191" t="s">
        <v>18</v>
      </c>
      <c r="C37" s="192"/>
      <c r="D37" s="193"/>
      <c r="E37" s="7">
        <f>SUM(E36:E36)</f>
        <v>3814.8148148148143</v>
      </c>
    </row>
    <row r="38" spans="1:6" ht="24.95" customHeight="1" thickBot="1" x14ac:dyDescent="0.25">
      <c r="A38" s="189"/>
      <c r="B38" s="191" t="s">
        <v>19</v>
      </c>
      <c r="C38" s="192"/>
      <c r="D38" s="193"/>
      <c r="E38" s="7">
        <f>E37*0.25</f>
        <v>953.70370370370358</v>
      </c>
    </row>
    <row r="39" spans="1:6" ht="24.95" customHeight="1" thickBot="1" x14ac:dyDescent="0.25">
      <c r="A39" s="189"/>
      <c r="B39" s="191" t="s">
        <v>20</v>
      </c>
      <c r="C39" s="192"/>
      <c r="D39" s="193"/>
      <c r="E39" s="7">
        <f>SUM(E37:E38)</f>
        <v>4768.5185185185182</v>
      </c>
    </row>
    <row r="40" spans="1:6" ht="24.95" customHeight="1" thickBot="1" x14ac:dyDescent="0.25">
      <c r="A40" s="190"/>
      <c r="B40" s="191" t="s">
        <v>21</v>
      </c>
      <c r="C40" s="192"/>
      <c r="D40" s="193"/>
      <c r="E40" s="7">
        <f>E39*0.2</f>
        <v>953.7037037037037</v>
      </c>
    </row>
    <row r="41" spans="1:6" ht="24.95" customHeight="1" thickBot="1" x14ac:dyDescent="0.25">
      <c r="A41" s="23" t="s">
        <v>59</v>
      </c>
      <c r="B41" s="194"/>
      <c r="C41" s="195"/>
      <c r="D41" s="196"/>
      <c r="E41" s="26">
        <f>SUM(E39:E40)</f>
        <v>5722.2222222222217</v>
      </c>
      <c r="F41" s="42" t="s">
        <v>69</v>
      </c>
    </row>
    <row r="42" spans="1:6" ht="24.95" customHeight="1" thickBot="1" x14ac:dyDescent="0.25">
      <c r="A42" s="197" t="s">
        <v>63</v>
      </c>
      <c r="B42" s="198"/>
      <c r="C42" s="198"/>
      <c r="D42" s="198"/>
      <c r="E42" s="24">
        <f>E11+E33+E41+E22</f>
        <v>132039.61111111109</v>
      </c>
      <c r="F42" s="46">
        <v>135925.83333333331</v>
      </c>
    </row>
    <row r="43" spans="1:6" ht="25.5" x14ac:dyDescent="0.2">
      <c r="A43" s="11"/>
      <c r="D43" s="43" t="s">
        <v>73</v>
      </c>
      <c r="E43" s="49">
        <f>E42-'2020_new'!E57</f>
        <v>30833.816799999971</v>
      </c>
    </row>
    <row r="44" spans="1:6" x14ac:dyDescent="0.2">
      <c r="A44" s="11"/>
      <c r="D44" s="43"/>
      <c r="E44" s="48"/>
    </row>
    <row r="45" spans="1:6" x14ac:dyDescent="0.2">
      <c r="A45" s="11"/>
      <c r="D45" s="43"/>
      <c r="E45" s="47">
        <f>E42/'2020_new'!E57</f>
        <v>1.3046645403050288</v>
      </c>
    </row>
    <row r="46" spans="1:6" x14ac:dyDescent="0.2">
      <c r="A46" s="11"/>
      <c r="E46" s="31"/>
    </row>
    <row r="47" spans="1:6" x14ac:dyDescent="0.2">
      <c r="A47" s="11"/>
    </row>
    <row r="48" spans="1:6" x14ac:dyDescent="0.2">
      <c r="A48" s="11"/>
    </row>
    <row r="49" spans="1:5" x14ac:dyDescent="0.2">
      <c r="A49" s="11"/>
    </row>
    <row r="50" spans="1:5" x14ac:dyDescent="0.2">
      <c r="A50" s="11"/>
    </row>
    <row r="51" spans="1:5" ht="26.25" thickBot="1" x14ac:dyDescent="0.25">
      <c r="A51" s="11"/>
      <c r="B51" s="54" t="s">
        <v>80</v>
      </c>
      <c r="D51" s="12"/>
      <c r="E51" s="12"/>
    </row>
    <row r="52" spans="1:5" ht="64.5" customHeight="1" thickBot="1" x14ac:dyDescent="0.25">
      <c r="A52" s="2" t="s">
        <v>0</v>
      </c>
      <c r="B52" s="2" t="s">
        <v>1</v>
      </c>
      <c r="C52" s="3" t="s">
        <v>2</v>
      </c>
      <c r="D52" s="44"/>
      <c r="E52" s="13"/>
    </row>
    <row r="53" spans="1:5" ht="14.25" customHeight="1" thickBot="1" x14ac:dyDescent="0.25">
      <c r="A53" s="21" t="s">
        <v>49</v>
      </c>
      <c r="B53" s="25">
        <f>400*1.03</f>
        <v>412</v>
      </c>
      <c r="C53" s="6">
        <f>B53/21.6</f>
        <v>19.074074074074073</v>
      </c>
      <c r="D53" s="44">
        <v>330</v>
      </c>
      <c r="E53" s="14"/>
    </row>
    <row r="54" spans="1:5" ht="13.5" thickBot="1" x14ac:dyDescent="0.25">
      <c r="A54" s="21" t="s">
        <v>50</v>
      </c>
      <c r="B54" s="25">
        <f>320*1.03</f>
        <v>329.6</v>
      </c>
      <c r="C54" s="6">
        <f>B54/21.6</f>
        <v>15.25925925925926</v>
      </c>
      <c r="D54" s="44">
        <v>300</v>
      </c>
      <c r="E54" s="14"/>
    </row>
    <row r="55" spans="1:5" ht="13.5" thickBot="1" x14ac:dyDescent="0.25">
      <c r="A55" s="21" t="s">
        <v>51</v>
      </c>
      <c r="B55" s="25">
        <f>250*1.03</f>
        <v>257.5</v>
      </c>
      <c r="C55" s="6">
        <f>B55/21.6</f>
        <v>11.921296296296296</v>
      </c>
      <c r="D55" s="44">
        <v>250</v>
      </c>
      <c r="E55" s="14"/>
    </row>
    <row r="56" spans="1:5" ht="13.5" thickBot="1" x14ac:dyDescent="0.25">
      <c r="A56" s="21" t="s">
        <v>52</v>
      </c>
      <c r="B56" s="25">
        <f>180*1.03</f>
        <v>185.4</v>
      </c>
      <c r="C56" s="6">
        <f>B56/21.6</f>
        <v>8.5833333333333321</v>
      </c>
      <c r="D56" s="44">
        <v>180</v>
      </c>
      <c r="E56" s="14"/>
    </row>
    <row r="57" spans="1:5" ht="13.5" thickBot="1" x14ac:dyDescent="0.25">
      <c r="A57" s="39"/>
      <c r="B57" s="16"/>
      <c r="C57" s="16"/>
      <c r="D57" s="44"/>
      <c r="E57" s="16"/>
    </row>
    <row r="58" spans="1:5" ht="21.75" thickBot="1" x14ac:dyDescent="0.25">
      <c r="A58" s="17" t="s">
        <v>4</v>
      </c>
      <c r="B58" s="3">
        <v>200</v>
      </c>
      <c r="D58" s="44"/>
      <c r="E58" s="16"/>
    </row>
    <row r="59" spans="1:5" x14ac:dyDescent="0.2">
      <c r="D59" s="43"/>
    </row>
  </sheetData>
  <mergeCells count="30">
    <mergeCell ref="B41:D41"/>
    <mergeCell ref="A42:D42"/>
    <mergeCell ref="B33:D33"/>
    <mergeCell ref="A34:E34"/>
    <mergeCell ref="A37:A40"/>
    <mergeCell ref="B37:D37"/>
    <mergeCell ref="B38:D38"/>
    <mergeCell ref="B39:D39"/>
    <mergeCell ref="B40:D40"/>
    <mergeCell ref="B22:D22"/>
    <mergeCell ref="A24:E24"/>
    <mergeCell ref="A29:A32"/>
    <mergeCell ref="B29:D29"/>
    <mergeCell ref="B30:D30"/>
    <mergeCell ref="B31:D31"/>
    <mergeCell ref="B32:D32"/>
    <mergeCell ref="B11:D11"/>
    <mergeCell ref="A13:E13"/>
    <mergeCell ref="A17:A21"/>
    <mergeCell ref="B17:D17"/>
    <mergeCell ref="B18:D18"/>
    <mergeCell ref="B19:D19"/>
    <mergeCell ref="B20:D20"/>
    <mergeCell ref="B21:D21"/>
    <mergeCell ref="A1:E1"/>
    <mergeCell ref="A7:A10"/>
    <mergeCell ref="B7:D7"/>
    <mergeCell ref="B8:D8"/>
    <mergeCell ref="B9:D9"/>
    <mergeCell ref="B10:D10"/>
  </mergeCells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62"/>
  <sheetViews>
    <sheetView topLeftCell="A13" workbookViewId="0">
      <selection activeCell="F22" sqref="F22"/>
    </sheetView>
  </sheetViews>
  <sheetFormatPr defaultRowHeight="12.75" x14ac:dyDescent="0.2"/>
  <cols>
    <col min="1" max="1" width="35.140625" style="18" customWidth="1"/>
    <col min="2" max="2" width="11.7109375" style="11" customWidth="1"/>
    <col min="3" max="3" width="13.85546875" style="11" customWidth="1"/>
    <col min="4" max="4" width="13.42578125" style="11" customWidth="1"/>
    <col min="5" max="5" width="15.7109375" style="11" customWidth="1"/>
    <col min="6" max="6" width="20.140625" style="1" customWidth="1"/>
    <col min="7" max="16384" width="9.140625" style="1"/>
  </cols>
  <sheetData>
    <row r="1" spans="1:6" ht="20.100000000000001" customHeight="1" thickBot="1" x14ac:dyDescent="0.25">
      <c r="A1" s="187" t="s">
        <v>8</v>
      </c>
      <c r="B1" s="187"/>
      <c r="C1" s="187"/>
      <c r="D1" s="187"/>
      <c r="E1" s="187"/>
    </row>
    <row r="2" spans="1:6" ht="30" customHeight="1" thickBot="1" x14ac:dyDescent="0.25">
      <c r="A2" s="19" t="s">
        <v>9</v>
      </c>
      <c r="B2" s="20" t="s">
        <v>10</v>
      </c>
      <c r="C2" s="20" t="s">
        <v>11</v>
      </c>
      <c r="D2" s="20" t="s">
        <v>12</v>
      </c>
      <c r="E2" s="20" t="s">
        <v>13</v>
      </c>
    </row>
    <row r="3" spans="1:6" ht="30" customHeight="1" thickBot="1" x14ac:dyDescent="0.25">
      <c r="A3" s="21" t="s">
        <v>14</v>
      </c>
      <c r="B3" s="22" t="s">
        <v>17</v>
      </c>
      <c r="C3" s="5">
        <v>460</v>
      </c>
      <c r="D3" s="6">
        <f>C57</f>
        <v>12.5</v>
      </c>
      <c r="E3" s="7">
        <f>C3*D3</f>
        <v>5750</v>
      </c>
    </row>
    <row r="4" spans="1:6" ht="30" customHeight="1" thickBot="1" x14ac:dyDescent="0.25">
      <c r="A4" s="21" t="s">
        <v>15</v>
      </c>
      <c r="B4" s="22" t="s">
        <v>17</v>
      </c>
      <c r="C4" s="5">
        <v>960</v>
      </c>
      <c r="D4" s="6">
        <f>C57</f>
        <v>12.5</v>
      </c>
      <c r="E4" s="7">
        <f>C4*D4</f>
        <v>12000</v>
      </c>
    </row>
    <row r="5" spans="1:6" ht="50.1" customHeight="1" thickBot="1" x14ac:dyDescent="0.25">
      <c r="A5" s="21" t="s">
        <v>16</v>
      </c>
      <c r="B5" s="22" t="s">
        <v>17</v>
      </c>
      <c r="C5" s="5">
        <v>1400</v>
      </c>
      <c r="D5" s="6">
        <f>C57</f>
        <v>12.5</v>
      </c>
      <c r="E5" s="7">
        <f>C5*D5</f>
        <v>17500</v>
      </c>
    </row>
    <row r="6" spans="1:6" ht="40.5" customHeight="1" thickBot="1" x14ac:dyDescent="0.25">
      <c r="A6" s="37" t="s">
        <v>40</v>
      </c>
      <c r="B6" s="22" t="s">
        <v>17</v>
      </c>
      <c r="C6" s="5">
        <v>960</v>
      </c>
      <c r="D6" s="6">
        <f>C57</f>
        <v>12.5</v>
      </c>
      <c r="E6" s="7">
        <f>C6*D6</f>
        <v>12000</v>
      </c>
    </row>
    <row r="7" spans="1:6" ht="24.95" customHeight="1" thickBot="1" x14ac:dyDescent="0.25">
      <c r="A7" s="188" t="s">
        <v>27</v>
      </c>
      <c r="B7" s="191" t="s">
        <v>18</v>
      </c>
      <c r="C7" s="192"/>
      <c r="D7" s="193"/>
      <c r="E7" s="7">
        <f>SUM(E3:E6)</f>
        <v>47250</v>
      </c>
    </row>
    <row r="8" spans="1:6" ht="24.95" customHeight="1" thickBot="1" x14ac:dyDescent="0.25">
      <c r="A8" s="189"/>
      <c r="B8" s="191" t="s">
        <v>19</v>
      </c>
      <c r="C8" s="192"/>
      <c r="D8" s="193"/>
      <c r="E8" s="7">
        <f>E7*0.25</f>
        <v>11812.5</v>
      </c>
    </row>
    <row r="9" spans="1:6" ht="24.95" customHeight="1" thickBot="1" x14ac:dyDescent="0.25">
      <c r="A9" s="189"/>
      <c r="B9" s="191" t="s">
        <v>20</v>
      </c>
      <c r="C9" s="192"/>
      <c r="D9" s="193"/>
      <c r="E9" s="7">
        <f>SUM(E7:E8)</f>
        <v>59062.5</v>
      </c>
    </row>
    <row r="10" spans="1:6" ht="24.95" customHeight="1" thickBot="1" x14ac:dyDescent="0.25">
      <c r="A10" s="190"/>
      <c r="B10" s="191" t="s">
        <v>21</v>
      </c>
      <c r="C10" s="192"/>
      <c r="D10" s="193"/>
      <c r="E10" s="7">
        <f>E9*0.2</f>
        <v>11812.5</v>
      </c>
    </row>
    <row r="11" spans="1:6" ht="24.95" customHeight="1" thickBot="1" x14ac:dyDescent="0.25">
      <c r="A11" s="23" t="s">
        <v>22</v>
      </c>
      <c r="B11" s="194"/>
      <c r="C11" s="195"/>
      <c r="D11" s="196"/>
      <c r="E11" s="26">
        <f>SUM(E9:E10)</f>
        <v>70875</v>
      </c>
      <c r="F11" s="32"/>
    </row>
    <row r="12" spans="1:6" x14ac:dyDescent="0.2">
      <c r="A12" s="8"/>
      <c r="B12" s="9"/>
      <c r="C12" s="9"/>
      <c r="D12" s="9"/>
      <c r="E12" s="9"/>
    </row>
    <row r="13" spans="1:6" ht="24" customHeight="1" thickBot="1" x14ac:dyDescent="0.25">
      <c r="A13" s="187" t="s">
        <v>32</v>
      </c>
      <c r="B13" s="187"/>
      <c r="C13" s="187"/>
      <c r="D13" s="187"/>
      <c r="E13" s="187"/>
    </row>
    <row r="14" spans="1:6" ht="24.95" customHeight="1" thickBot="1" x14ac:dyDescent="0.25">
      <c r="A14" s="19" t="s">
        <v>9</v>
      </c>
      <c r="B14" s="20" t="s">
        <v>10</v>
      </c>
      <c r="C14" s="20" t="s">
        <v>11</v>
      </c>
      <c r="D14" s="20" t="s">
        <v>12</v>
      </c>
      <c r="E14" s="20" t="s">
        <v>13</v>
      </c>
    </row>
    <row r="15" spans="1:6" ht="24.95" customHeight="1" thickBot="1" x14ac:dyDescent="0.25">
      <c r="A15" s="21" t="s">
        <v>23</v>
      </c>
      <c r="B15" s="22" t="s">
        <v>17</v>
      </c>
      <c r="C15" s="5">
        <v>252</v>
      </c>
      <c r="D15" s="6">
        <f>C60</f>
        <v>5.5555555555555554</v>
      </c>
      <c r="E15" s="7">
        <f>C15*D15</f>
        <v>1400</v>
      </c>
    </row>
    <row r="16" spans="1:6" ht="24.95" customHeight="1" thickBot="1" x14ac:dyDescent="0.25">
      <c r="A16" s="21" t="s">
        <v>24</v>
      </c>
      <c r="B16" s="22" t="s">
        <v>17</v>
      </c>
      <c r="C16" s="5">
        <v>50</v>
      </c>
      <c r="D16" s="6">
        <f>C57</f>
        <v>12.5</v>
      </c>
      <c r="E16" s="7">
        <f>C16*D16</f>
        <v>625</v>
      </c>
    </row>
    <row r="17" spans="1:8" ht="24.95" customHeight="1" thickBot="1" x14ac:dyDescent="0.25">
      <c r="A17" s="21" t="s">
        <v>25</v>
      </c>
      <c r="B17" s="22"/>
      <c r="C17" s="10"/>
      <c r="D17" s="10"/>
      <c r="E17" s="7">
        <f>SUM(E15:E16)</f>
        <v>2025</v>
      </c>
    </row>
    <row r="18" spans="1:8" ht="24.95" customHeight="1" thickBot="1" x14ac:dyDescent="0.25">
      <c r="A18" s="188" t="s">
        <v>27</v>
      </c>
      <c r="B18" s="191" t="s">
        <v>31</v>
      </c>
      <c r="C18" s="192"/>
      <c r="D18" s="193"/>
      <c r="E18" s="7">
        <f>2*(E15+E16)</f>
        <v>4050</v>
      </c>
    </row>
    <row r="19" spans="1:8" ht="24.95" customHeight="1" thickBot="1" x14ac:dyDescent="0.25">
      <c r="A19" s="189"/>
      <c r="B19" s="191" t="s">
        <v>19</v>
      </c>
      <c r="C19" s="192"/>
      <c r="D19" s="193"/>
      <c r="E19" s="7">
        <f>E18*0.25</f>
        <v>1012.5</v>
      </c>
    </row>
    <row r="20" spans="1:8" ht="24.95" customHeight="1" thickBot="1" x14ac:dyDescent="0.25">
      <c r="A20" s="189"/>
      <c r="B20" s="191" t="s">
        <v>20</v>
      </c>
      <c r="C20" s="192"/>
      <c r="D20" s="193"/>
      <c r="E20" s="7">
        <f>SUM(E18:E19)</f>
        <v>5062.5</v>
      </c>
    </row>
    <row r="21" spans="1:8" ht="24.95" customHeight="1" thickBot="1" x14ac:dyDescent="0.25">
      <c r="A21" s="190"/>
      <c r="B21" s="191" t="s">
        <v>21</v>
      </c>
      <c r="C21" s="192"/>
      <c r="D21" s="193"/>
      <c r="E21" s="7">
        <f>E20*0.2</f>
        <v>1012.5</v>
      </c>
      <c r="H21" s="1" t="s">
        <v>37</v>
      </c>
    </row>
    <row r="22" spans="1:8" ht="24.95" customHeight="1" thickBot="1" x14ac:dyDescent="0.25">
      <c r="A22" s="23" t="s">
        <v>26</v>
      </c>
      <c r="B22" s="194"/>
      <c r="C22" s="195"/>
      <c r="D22" s="196"/>
      <c r="E22" s="26">
        <f>SUM(E20:E21)</f>
        <v>6075</v>
      </c>
      <c r="F22" s="38"/>
    </row>
    <row r="23" spans="1:8" ht="24.95" customHeight="1" x14ac:dyDescent="0.2">
      <c r="A23" s="9"/>
      <c r="B23" s="9"/>
      <c r="C23" s="9"/>
      <c r="D23" s="9"/>
      <c r="E23" s="9"/>
    </row>
    <row r="24" spans="1:8" ht="33.75" customHeight="1" thickBot="1" x14ac:dyDescent="0.25">
      <c r="A24" s="187" t="s">
        <v>42</v>
      </c>
      <c r="B24" s="187"/>
      <c r="C24" s="187"/>
      <c r="D24" s="187"/>
      <c r="E24" s="187"/>
    </row>
    <row r="25" spans="1:8" ht="24.95" customHeight="1" thickBot="1" x14ac:dyDescent="0.25">
      <c r="A25" s="19" t="s">
        <v>9</v>
      </c>
      <c r="B25" s="20" t="s">
        <v>10</v>
      </c>
      <c r="C25" s="20" t="s">
        <v>11</v>
      </c>
      <c r="D25" s="20" t="s">
        <v>12</v>
      </c>
      <c r="E25" s="20" t="s">
        <v>13</v>
      </c>
    </row>
    <row r="26" spans="1:8" ht="39.950000000000003" customHeight="1" thickBot="1" x14ac:dyDescent="0.25">
      <c r="A26" s="199" t="s">
        <v>43</v>
      </c>
      <c r="B26" s="188" t="s">
        <v>17</v>
      </c>
      <c r="C26" s="5">
        <v>26</v>
      </c>
      <c r="D26" s="6">
        <f>$C$57</f>
        <v>12.5</v>
      </c>
      <c r="E26" s="7">
        <f t="shared" ref="E26:E39" si="0">C26*D26</f>
        <v>325</v>
      </c>
    </row>
    <row r="27" spans="1:8" ht="39.950000000000003" customHeight="1" thickBot="1" x14ac:dyDescent="0.25">
      <c r="A27" s="200"/>
      <c r="B27" s="190"/>
      <c r="C27" s="5">
        <v>13</v>
      </c>
      <c r="D27" s="6">
        <f>$C$56</f>
        <v>191.2037037037037</v>
      </c>
      <c r="E27" s="7">
        <f t="shared" si="0"/>
        <v>2485.6481481481478</v>
      </c>
    </row>
    <row r="28" spans="1:8" ht="35.1" hidden="1" customHeight="1" thickBot="1" x14ac:dyDescent="0.25">
      <c r="A28" s="199" t="s">
        <v>38</v>
      </c>
      <c r="B28" s="188" t="s">
        <v>17</v>
      </c>
      <c r="C28" s="5">
        <v>22.75</v>
      </c>
      <c r="D28" s="6">
        <f>$C$57</f>
        <v>12.5</v>
      </c>
      <c r="E28" s="7">
        <f t="shared" si="0"/>
        <v>284.375</v>
      </c>
    </row>
    <row r="29" spans="1:8" ht="35.25" hidden="1" customHeight="1" thickBot="1" x14ac:dyDescent="0.25">
      <c r="A29" s="200"/>
      <c r="B29" s="190"/>
      <c r="C29" s="5">
        <v>13</v>
      </c>
      <c r="D29" s="6">
        <f>$C$56</f>
        <v>191.2037037037037</v>
      </c>
      <c r="E29" s="7">
        <f t="shared" si="0"/>
        <v>2485.6481481481478</v>
      </c>
    </row>
    <row r="30" spans="1:8" ht="39.950000000000003" customHeight="1" thickBot="1" x14ac:dyDescent="0.25">
      <c r="A30" s="199" t="s">
        <v>44</v>
      </c>
      <c r="B30" s="188" t="s">
        <v>17</v>
      </c>
      <c r="C30" s="5">
        <v>33</v>
      </c>
      <c r="D30" s="6">
        <f>$C$57</f>
        <v>12.5</v>
      </c>
      <c r="E30" s="7">
        <f t="shared" si="0"/>
        <v>412.5</v>
      </c>
    </row>
    <row r="31" spans="1:8" ht="39.950000000000003" customHeight="1" thickBot="1" x14ac:dyDescent="0.25">
      <c r="A31" s="200"/>
      <c r="B31" s="190"/>
      <c r="C31" s="5">
        <v>20</v>
      </c>
      <c r="D31" s="6">
        <f>$C$56</f>
        <v>191.2037037037037</v>
      </c>
      <c r="E31" s="7">
        <f t="shared" si="0"/>
        <v>3824.0740740740739</v>
      </c>
    </row>
    <row r="32" spans="1:8" ht="35.1" customHeight="1" thickBot="1" x14ac:dyDescent="0.25">
      <c r="A32" s="199" t="s">
        <v>45</v>
      </c>
      <c r="B32" s="188" t="s">
        <v>17</v>
      </c>
      <c r="C32" s="5">
        <v>52</v>
      </c>
      <c r="D32" s="6">
        <f>$C$57</f>
        <v>12.5</v>
      </c>
      <c r="E32" s="7">
        <f t="shared" si="0"/>
        <v>650</v>
      </c>
    </row>
    <row r="33" spans="1:6" ht="35.1" customHeight="1" thickBot="1" x14ac:dyDescent="0.25">
      <c r="A33" s="200"/>
      <c r="B33" s="190"/>
      <c r="C33" s="5">
        <v>39</v>
      </c>
      <c r="D33" s="6">
        <f>$C$56</f>
        <v>191.2037037037037</v>
      </c>
      <c r="E33" s="7">
        <f t="shared" si="0"/>
        <v>7456.9444444444443</v>
      </c>
    </row>
    <row r="34" spans="1:6" ht="35.1" customHeight="1" thickBot="1" x14ac:dyDescent="0.25">
      <c r="A34" s="199" t="s">
        <v>46</v>
      </c>
      <c r="B34" s="188" t="s">
        <v>17</v>
      </c>
      <c r="C34" s="5">
        <v>156</v>
      </c>
      <c r="D34" s="6">
        <f>$C$57</f>
        <v>12.5</v>
      </c>
      <c r="E34" s="7">
        <f t="shared" si="0"/>
        <v>1950</v>
      </c>
    </row>
    <row r="35" spans="1:6" ht="35.1" customHeight="1" thickBot="1" x14ac:dyDescent="0.25">
      <c r="A35" s="200"/>
      <c r="B35" s="190"/>
      <c r="C35" s="5">
        <v>132</v>
      </c>
      <c r="D35" s="6">
        <f>$C$56</f>
        <v>191.2037037037037</v>
      </c>
      <c r="E35" s="7">
        <f t="shared" si="0"/>
        <v>25238.888888888887</v>
      </c>
    </row>
    <row r="36" spans="1:6" ht="35.1" customHeight="1" thickBot="1" x14ac:dyDescent="0.25">
      <c r="A36" s="199" t="s">
        <v>47</v>
      </c>
      <c r="B36" s="188" t="s">
        <v>17</v>
      </c>
      <c r="C36" s="5">
        <v>156</v>
      </c>
      <c r="D36" s="6">
        <f>$C$57</f>
        <v>12.5</v>
      </c>
      <c r="E36" s="7">
        <f t="shared" si="0"/>
        <v>1950</v>
      </c>
    </row>
    <row r="37" spans="1:6" ht="35.1" customHeight="1" thickBot="1" x14ac:dyDescent="0.25">
      <c r="A37" s="200"/>
      <c r="B37" s="190"/>
      <c r="C37" s="5">
        <v>132</v>
      </c>
      <c r="D37" s="6">
        <f>$C$56</f>
        <v>191.2037037037037</v>
      </c>
      <c r="E37" s="7">
        <f t="shared" si="0"/>
        <v>25238.888888888887</v>
      </c>
    </row>
    <row r="38" spans="1:6" ht="35.1" customHeight="1" thickBot="1" x14ac:dyDescent="0.25">
      <c r="A38" s="199" t="s">
        <v>48</v>
      </c>
      <c r="B38" s="188" t="s">
        <v>17</v>
      </c>
      <c r="C38" s="5">
        <v>74</v>
      </c>
      <c r="D38" s="6">
        <f>$C$57</f>
        <v>12.5</v>
      </c>
      <c r="E38" s="7">
        <f t="shared" si="0"/>
        <v>925</v>
      </c>
    </row>
    <row r="39" spans="1:6" ht="35.1" customHeight="1" thickBot="1" x14ac:dyDescent="0.25">
      <c r="A39" s="200"/>
      <c r="B39" s="190"/>
      <c r="C39" s="5">
        <v>59</v>
      </c>
      <c r="D39" s="6">
        <f>$C$56</f>
        <v>191.2037037037037</v>
      </c>
      <c r="E39" s="7">
        <f t="shared" si="0"/>
        <v>11281.018518518518</v>
      </c>
    </row>
    <row r="40" spans="1:6" ht="24.95" customHeight="1" thickBot="1" x14ac:dyDescent="0.25">
      <c r="A40" s="188" t="s">
        <v>27</v>
      </c>
      <c r="B40" s="191" t="s">
        <v>18</v>
      </c>
      <c r="C40" s="192"/>
      <c r="D40" s="193"/>
      <c r="E40" s="7">
        <f>SUM(E26:E39)</f>
        <v>84507.986111111095</v>
      </c>
    </row>
    <row r="41" spans="1:6" ht="24.95" customHeight="1" thickBot="1" x14ac:dyDescent="0.25">
      <c r="A41" s="189"/>
      <c r="B41" s="191" t="s">
        <v>19</v>
      </c>
      <c r="C41" s="192"/>
      <c r="D41" s="193"/>
      <c r="E41" s="7">
        <f>E40*0.25</f>
        <v>21126.996527777774</v>
      </c>
    </row>
    <row r="42" spans="1:6" ht="24.95" customHeight="1" thickBot="1" x14ac:dyDescent="0.25">
      <c r="A42" s="189"/>
      <c r="B42" s="191" t="s">
        <v>20</v>
      </c>
      <c r="C42" s="192"/>
      <c r="D42" s="193"/>
      <c r="E42" s="7">
        <f>SUM(E40:E41)</f>
        <v>105634.98263888888</v>
      </c>
    </row>
    <row r="43" spans="1:6" ht="24.95" customHeight="1" thickBot="1" x14ac:dyDescent="0.25">
      <c r="A43" s="190"/>
      <c r="B43" s="191" t="s">
        <v>21</v>
      </c>
      <c r="C43" s="192"/>
      <c r="D43" s="193"/>
      <c r="E43" s="7">
        <f>E42*0.2</f>
        <v>21126.996527777777</v>
      </c>
    </row>
    <row r="44" spans="1:6" ht="24.95" customHeight="1" thickBot="1" x14ac:dyDescent="0.25">
      <c r="A44" s="23" t="s">
        <v>39</v>
      </c>
      <c r="B44" s="194"/>
      <c r="C44" s="195"/>
      <c r="D44" s="196"/>
      <c r="E44" s="26">
        <f>SUM(E42:E43)</f>
        <v>126761.97916666666</v>
      </c>
      <c r="F44" s="36"/>
    </row>
    <row r="45" spans="1:6" ht="24.95" customHeight="1" thickBot="1" x14ac:dyDescent="0.25">
      <c r="A45" s="197" t="s">
        <v>29</v>
      </c>
      <c r="B45" s="198"/>
      <c r="C45" s="198"/>
      <c r="D45" s="198"/>
      <c r="E45" s="24">
        <f>E11+E22+E44</f>
        <v>203711.97916666666</v>
      </c>
    </row>
    <row r="46" spans="1:6" x14ac:dyDescent="0.2">
      <c r="A46" s="11"/>
      <c r="E46" s="30"/>
    </row>
    <row r="47" spans="1:6" x14ac:dyDescent="0.2">
      <c r="A47" s="11"/>
      <c r="E47" s="29"/>
    </row>
    <row r="48" spans="1:6" x14ac:dyDescent="0.2">
      <c r="A48" s="11"/>
    </row>
    <row r="49" spans="1:5" x14ac:dyDescent="0.2">
      <c r="A49" s="11"/>
      <c r="E49" s="31"/>
    </row>
    <row r="50" spans="1:5" x14ac:dyDescent="0.2">
      <c r="A50" s="11"/>
    </row>
    <row r="51" spans="1:5" x14ac:dyDescent="0.2">
      <c r="A51" s="11"/>
    </row>
    <row r="52" spans="1:5" x14ac:dyDescent="0.2">
      <c r="A52" s="11"/>
    </row>
    <row r="53" spans="1:5" x14ac:dyDescent="0.2">
      <c r="A53" s="11"/>
    </row>
    <row r="54" spans="1:5" ht="13.5" thickBot="1" x14ac:dyDescent="0.25">
      <c r="A54" s="11"/>
      <c r="D54" s="12"/>
      <c r="E54" s="12"/>
    </row>
    <row r="55" spans="1:5" ht="64.5" customHeight="1" thickBot="1" x14ac:dyDescent="0.25">
      <c r="A55" s="2" t="s">
        <v>0</v>
      </c>
      <c r="B55" s="2" t="s">
        <v>1</v>
      </c>
      <c r="C55" s="3" t="s">
        <v>2</v>
      </c>
      <c r="D55" s="13"/>
      <c r="E55" s="13"/>
    </row>
    <row r="56" spans="1:5" ht="14.25" customHeight="1" thickBot="1" x14ac:dyDescent="0.25">
      <c r="A56" s="21" t="s">
        <v>41</v>
      </c>
      <c r="B56" s="25">
        <f>10000*413/1000</f>
        <v>4130</v>
      </c>
      <c r="C56" s="6">
        <f>B56/21.6</f>
        <v>191.2037037037037</v>
      </c>
      <c r="D56" s="13"/>
      <c r="E56" s="13"/>
    </row>
    <row r="57" spans="1:5" ht="14.25" customHeight="1" thickBot="1" x14ac:dyDescent="0.25">
      <c r="A57" s="4" t="s">
        <v>34</v>
      </c>
      <c r="B57" s="25">
        <v>270</v>
      </c>
      <c r="C57" s="6">
        <f>B57/21.6</f>
        <v>12.5</v>
      </c>
      <c r="D57" s="14"/>
      <c r="E57" s="14"/>
    </row>
    <row r="58" spans="1:5" ht="13.5" thickBot="1" x14ac:dyDescent="0.25">
      <c r="A58" s="4" t="s">
        <v>35</v>
      </c>
      <c r="B58" s="25">
        <v>240</v>
      </c>
      <c r="C58" s="6">
        <f>B58/21.6</f>
        <v>11.111111111111111</v>
      </c>
      <c r="D58" s="14"/>
      <c r="E58" s="14"/>
    </row>
    <row r="59" spans="1:5" ht="13.5" thickBot="1" x14ac:dyDescent="0.25">
      <c r="A59" s="4" t="s">
        <v>36</v>
      </c>
      <c r="B59" s="25">
        <v>180</v>
      </c>
      <c r="C59" s="6">
        <f>B59/21.6</f>
        <v>8.3333333333333321</v>
      </c>
      <c r="D59" s="14"/>
      <c r="E59" s="14"/>
    </row>
    <row r="60" spans="1:5" ht="13.5" thickBot="1" x14ac:dyDescent="0.25">
      <c r="A60" s="4" t="s">
        <v>33</v>
      </c>
      <c r="B60" s="25">
        <v>120</v>
      </c>
      <c r="C60" s="6">
        <f>B60/21.6</f>
        <v>5.5555555555555554</v>
      </c>
      <c r="D60" s="14"/>
      <c r="E60" s="14"/>
    </row>
    <row r="61" spans="1:5" ht="13.5" thickBot="1" x14ac:dyDescent="0.25">
      <c r="A61" s="15"/>
      <c r="B61" s="16"/>
      <c r="C61" s="16"/>
      <c r="D61" s="16"/>
      <c r="E61" s="16"/>
    </row>
    <row r="62" spans="1:5" ht="21.75" thickBot="1" x14ac:dyDescent="0.25">
      <c r="A62" s="17" t="s">
        <v>4</v>
      </c>
      <c r="B62" s="3">
        <v>200</v>
      </c>
      <c r="D62" s="16"/>
      <c r="E62" s="16"/>
    </row>
  </sheetData>
  <mergeCells count="36">
    <mergeCell ref="B22:D22"/>
    <mergeCell ref="A45:D45"/>
    <mergeCell ref="B11:D11"/>
    <mergeCell ref="A13:E13"/>
    <mergeCell ref="A18:A21"/>
    <mergeCell ref="B18:D18"/>
    <mergeCell ref="B19:D19"/>
    <mergeCell ref="B20:D20"/>
    <mergeCell ref="B21:D21"/>
    <mergeCell ref="A24:E24"/>
    <mergeCell ref="A40:A43"/>
    <mergeCell ref="B40:D40"/>
    <mergeCell ref="B41:D41"/>
    <mergeCell ref="B42:D42"/>
    <mergeCell ref="B43:D43"/>
    <mergeCell ref="B44:D44"/>
    <mergeCell ref="A1:E1"/>
    <mergeCell ref="A7:A10"/>
    <mergeCell ref="B7:D7"/>
    <mergeCell ref="B8:D8"/>
    <mergeCell ref="B9:D9"/>
    <mergeCell ref="B10:D10"/>
    <mergeCell ref="A26:A27"/>
    <mergeCell ref="A28:A29"/>
    <mergeCell ref="A30:A31"/>
    <mergeCell ref="B26:B27"/>
    <mergeCell ref="B28:B29"/>
    <mergeCell ref="B30:B31"/>
    <mergeCell ref="B32:B33"/>
    <mergeCell ref="B34:B35"/>
    <mergeCell ref="B36:B37"/>
    <mergeCell ref="B38:B39"/>
    <mergeCell ref="A32:A33"/>
    <mergeCell ref="A34:A35"/>
    <mergeCell ref="A36:A37"/>
    <mergeCell ref="A38:A39"/>
  </mergeCells>
  <pageMargins left="0" right="0" top="0" bottom="0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1"/>
  <sheetViews>
    <sheetView workbookViewId="0">
      <selection activeCell="B63" sqref="B63:B66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46" customWidth="1"/>
    <col min="7" max="8" width="9.140625" style="46"/>
    <col min="9" max="16384" width="9.140625" style="1"/>
  </cols>
  <sheetData>
    <row r="1" spans="1:7" ht="20.100000000000001" customHeight="1" thickBot="1" x14ac:dyDescent="0.25">
      <c r="A1" s="187" t="s">
        <v>8</v>
      </c>
      <c r="B1" s="187"/>
      <c r="C1" s="187"/>
      <c r="D1" s="187"/>
      <c r="E1" s="187"/>
    </row>
    <row r="2" spans="1:7" ht="30" customHeight="1" thickBot="1" x14ac:dyDescent="0.25">
      <c r="A2" s="19" t="s">
        <v>9</v>
      </c>
      <c r="B2" s="20" t="s">
        <v>10</v>
      </c>
      <c r="C2" s="20" t="s">
        <v>11</v>
      </c>
      <c r="D2" s="20" t="s">
        <v>12</v>
      </c>
      <c r="E2" s="20" t="s">
        <v>13</v>
      </c>
    </row>
    <row r="3" spans="1:7" ht="30" customHeight="1" thickBot="1" x14ac:dyDescent="0.25">
      <c r="A3" s="21" t="s">
        <v>14</v>
      </c>
      <c r="B3" s="22" t="s">
        <v>17</v>
      </c>
      <c r="C3" s="5">
        <v>900</v>
      </c>
      <c r="D3" s="6">
        <f>C45</f>
        <v>19.646296296296295</v>
      </c>
      <c r="E3" s="7">
        <f>C3*D3</f>
        <v>17681.666666666664</v>
      </c>
      <c r="F3" s="44">
        <v>465</v>
      </c>
      <c r="G3" s="46" t="s">
        <v>71</v>
      </c>
    </row>
    <row r="4" spans="1:7" ht="30" customHeight="1" thickBot="1" x14ac:dyDescent="0.25">
      <c r="A4" s="21" t="s">
        <v>15</v>
      </c>
      <c r="B4" s="22" t="s">
        <v>17</v>
      </c>
      <c r="C4" s="5">
        <v>800</v>
      </c>
      <c r="D4" s="6">
        <f>C45</f>
        <v>19.646296296296295</v>
      </c>
      <c r="E4" s="7">
        <f>C4*D4</f>
        <v>15717.037037037036</v>
      </c>
      <c r="F4" s="44">
        <v>965</v>
      </c>
    </row>
    <row r="5" spans="1:7" ht="50.1" customHeight="1" thickBot="1" x14ac:dyDescent="0.25">
      <c r="A5" s="21" t="s">
        <v>16</v>
      </c>
      <c r="B5" s="22" t="s">
        <v>17</v>
      </c>
      <c r="C5" s="5">
        <v>1400</v>
      </c>
      <c r="D5" s="6">
        <f>C45</f>
        <v>19.646296296296295</v>
      </c>
      <c r="E5" s="7">
        <f>C5*D5</f>
        <v>27504.814814814814</v>
      </c>
      <c r="F5" s="44">
        <v>1400</v>
      </c>
    </row>
    <row r="6" spans="1:7" ht="50.1" customHeight="1" thickBot="1" x14ac:dyDescent="0.25">
      <c r="A6" s="50" t="s">
        <v>40</v>
      </c>
      <c r="B6" s="51" t="s">
        <v>17</v>
      </c>
      <c r="C6" s="41">
        <v>0</v>
      </c>
      <c r="D6" s="52">
        <f>C45</f>
        <v>19.646296296296295</v>
      </c>
      <c r="E6" s="53">
        <f>C6*D6</f>
        <v>0</v>
      </c>
      <c r="F6" s="44">
        <v>550</v>
      </c>
      <c r="G6" s="46">
        <f>SUM(C3:C6)</f>
        <v>3100</v>
      </c>
    </row>
    <row r="7" spans="1:7" ht="24.95" customHeight="1" thickBot="1" x14ac:dyDescent="0.25">
      <c r="A7" s="188" t="s">
        <v>27</v>
      </c>
      <c r="B7" s="191" t="s">
        <v>18</v>
      </c>
      <c r="C7" s="192"/>
      <c r="D7" s="193"/>
      <c r="E7" s="7">
        <f>SUM(E3:E6)</f>
        <v>60903.518518518511</v>
      </c>
    </row>
    <row r="8" spans="1:7" ht="24.95" customHeight="1" thickBot="1" x14ac:dyDescent="0.25">
      <c r="A8" s="189"/>
      <c r="B8" s="191" t="s">
        <v>19</v>
      </c>
      <c r="C8" s="192"/>
      <c r="D8" s="193"/>
      <c r="E8" s="7">
        <f>E7*0.25</f>
        <v>15225.879629629628</v>
      </c>
    </row>
    <row r="9" spans="1:7" ht="24.95" customHeight="1" thickBot="1" x14ac:dyDescent="0.25">
      <c r="A9" s="189"/>
      <c r="B9" s="191" t="s">
        <v>20</v>
      </c>
      <c r="C9" s="192"/>
      <c r="D9" s="193"/>
      <c r="E9" s="7">
        <f>SUM(E7:E8)</f>
        <v>76129.398148148146</v>
      </c>
    </row>
    <row r="10" spans="1:7" ht="24.95" customHeight="1" thickBot="1" x14ac:dyDescent="0.25">
      <c r="A10" s="190"/>
      <c r="B10" s="191" t="s">
        <v>21</v>
      </c>
      <c r="C10" s="192"/>
      <c r="D10" s="193"/>
      <c r="E10" s="7">
        <f>E9*0.2</f>
        <v>15225.87962962963</v>
      </c>
    </row>
    <row r="11" spans="1:7" ht="24.95" customHeight="1" thickBot="1" x14ac:dyDescent="0.25">
      <c r="A11" s="23" t="s">
        <v>22</v>
      </c>
      <c r="B11" s="194"/>
      <c r="C11" s="195"/>
      <c r="D11" s="196"/>
      <c r="E11" s="26">
        <f>SUM(E9:E10)</f>
        <v>91355.277777777781</v>
      </c>
    </row>
    <row r="12" spans="1:7" x14ac:dyDescent="0.2">
      <c r="A12" s="8"/>
      <c r="B12" s="9"/>
      <c r="C12" s="9"/>
      <c r="D12" s="9"/>
      <c r="E12" s="9"/>
    </row>
    <row r="13" spans="1:7" ht="24" customHeight="1" thickBot="1" x14ac:dyDescent="0.25">
      <c r="A13" s="187" t="s">
        <v>64</v>
      </c>
      <c r="B13" s="187"/>
      <c r="C13" s="187"/>
      <c r="D13" s="187"/>
      <c r="E13" s="187"/>
    </row>
    <row r="14" spans="1:7" ht="24.95" customHeight="1" thickBot="1" x14ac:dyDescent="0.25">
      <c r="A14" s="19" t="s">
        <v>9</v>
      </c>
      <c r="B14" s="20" t="s">
        <v>10</v>
      </c>
      <c r="C14" s="20" t="s">
        <v>11</v>
      </c>
      <c r="D14" s="20" t="s">
        <v>12</v>
      </c>
      <c r="E14" s="20" t="s">
        <v>13</v>
      </c>
    </row>
    <row r="15" spans="1:7" ht="24.95" customHeight="1" thickBot="1" x14ac:dyDescent="0.25">
      <c r="A15" s="21" t="s">
        <v>49</v>
      </c>
      <c r="B15" s="22" t="s">
        <v>17</v>
      </c>
      <c r="C15" s="41">
        <v>500</v>
      </c>
      <c r="D15" s="6">
        <f>C45</f>
        <v>19.646296296296295</v>
      </c>
      <c r="E15" s="7">
        <f>C15*D15</f>
        <v>9823.1481481481478</v>
      </c>
      <c r="F15" s="42" t="s">
        <v>70</v>
      </c>
    </row>
    <row r="16" spans="1:7" ht="24.95" customHeight="1" thickBot="1" x14ac:dyDescent="0.25">
      <c r="A16" s="21" t="s">
        <v>50</v>
      </c>
      <c r="B16" s="22" t="s">
        <v>17</v>
      </c>
      <c r="C16" s="41">
        <v>500</v>
      </c>
      <c r="D16" s="6">
        <f>C46</f>
        <v>15.717037037037038</v>
      </c>
      <c r="E16" s="7">
        <f>C16*D16</f>
        <v>7858.5185185185192</v>
      </c>
      <c r="F16" s="46">
        <f>SUM(C15:C16)</f>
        <v>1000</v>
      </c>
    </row>
    <row r="17" spans="1:5" ht="24.95" customHeight="1" thickBot="1" x14ac:dyDescent="0.25">
      <c r="A17" s="188" t="s">
        <v>27</v>
      </c>
      <c r="B17" s="191" t="s">
        <v>54</v>
      </c>
      <c r="C17" s="192"/>
      <c r="D17" s="193"/>
      <c r="E17" s="7">
        <f>E15+E16</f>
        <v>17681.666666666668</v>
      </c>
    </row>
    <row r="18" spans="1:5" ht="24.95" customHeight="1" thickBot="1" x14ac:dyDescent="0.25">
      <c r="A18" s="189"/>
      <c r="B18" s="191" t="s">
        <v>58</v>
      </c>
      <c r="C18" s="192"/>
      <c r="D18" s="193"/>
      <c r="E18" s="7">
        <f>E17*0.4</f>
        <v>7072.6666666666679</v>
      </c>
    </row>
    <row r="19" spans="1:5" ht="24.95" customHeight="1" thickBot="1" x14ac:dyDescent="0.25">
      <c r="A19" s="189"/>
      <c r="B19" s="191" t="s">
        <v>57</v>
      </c>
      <c r="C19" s="192"/>
      <c r="D19" s="193"/>
      <c r="E19" s="7">
        <v>400</v>
      </c>
    </row>
    <row r="20" spans="1:5" ht="24.95" customHeight="1" thickBot="1" x14ac:dyDescent="0.25">
      <c r="A20" s="189"/>
      <c r="B20" s="191" t="s">
        <v>20</v>
      </c>
      <c r="C20" s="192"/>
      <c r="D20" s="193"/>
      <c r="E20" s="7">
        <f>SUM(E17:E19)</f>
        <v>25154.333333333336</v>
      </c>
    </row>
    <row r="21" spans="1:5" ht="24.95" customHeight="1" thickBot="1" x14ac:dyDescent="0.25">
      <c r="A21" s="190"/>
      <c r="B21" s="191" t="s">
        <v>21</v>
      </c>
      <c r="C21" s="192"/>
      <c r="D21" s="193"/>
      <c r="E21" s="7">
        <f>E20*0.2</f>
        <v>5030.8666666666677</v>
      </c>
    </row>
    <row r="22" spans="1:5" ht="24.95" customHeight="1" thickBot="1" x14ac:dyDescent="0.25">
      <c r="A22" s="23" t="s">
        <v>26</v>
      </c>
      <c r="B22" s="194"/>
      <c r="C22" s="195"/>
      <c r="D22" s="196"/>
      <c r="E22" s="26">
        <f>SUM(E20:E21)</f>
        <v>30185.200000000004</v>
      </c>
    </row>
    <row r="23" spans="1:5" ht="24.95" customHeight="1" x14ac:dyDescent="0.2">
      <c r="A23" s="33"/>
      <c r="B23" s="34"/>
      <c r="C23" s="34"/>
      <c r="D23" s="34"/>
      <c r="E23" s="35"/>
    </row>
    <row r="24" spans="1:5" ht="24" customHeight="1" thickBot="1" x14ac:dyDescent="0.25">
      <c r="A24" s="187" t="s">
        <v>55</v>
      </c>
      <c r="B24" s="187"/>
      <c r="C24" s="187"/>
      <c r="D24" s="187"/>
      <c r="E24" s="187"/>
    </row>
    <row r="25" spans="1:5" ht="24.95" customHeight="1" thickBot="1" x14ac:dyDescent="0.25">
      <c r="A25" s="19" t="s">
        <v>9</v>
      </c>
      <c r="B25" s="20" t="s">
        <v>10</v>
      </c>
      <c r="C25" s="20" t="s">
        <v>11</v>
      </c>
      <c r="D25" s="20" t="s">
        <v>12</v>
      </c>
      <c r="E25" s="20" t="s">
        <v>13</v>
      </c>
    </row>
    <row r="26" spans="1:5" ht="24.95" customHeight="1" thickBot="1" x14ac:dyDescent="0.25">
      <c r="A26" s="21" t="s">
        <v>23</v>
      </c>
      <c r="B26" s="22" t="s">
        <v>17</v>
      </c>
      <c r="C26" s="5">
        <v>252</v>
      </c>
      <c r="D26" s="6">
        <f>C48</f>
        <v>8.8408333333333342</v>
      </c>
      <c r="E26" s="7">
        <f>C26*D26</f>
        <v>2227.8900000000003</v>
      </c>
    </row>
    <row r="27" spans="1:5" ht="24.95" customHeight="1" thickBot="1" x14ac:dyDescent="0.25">
      <c r="A27" s="21" t="s">
        <v>24</v>
      </c>
      <c r="B27" s="22" t="s">
        <v>17</v>
      </c>
      <c r="C27" s="5">
        <v>50</v>
      </c>
      <c r="D27" s="6">
        <f>C45</f>
        <v>19.646296296296295</v>
      </c>
      <c r="E27" s="7">
        <f>C27*D27</f>
        <v>982.31481481481478</v>
      </c>
    </row>
    <row r="28" spans="1:5" ht="24.95" customHeight="1" thickBot="1" x14ac:dyDescent="0.25">
      <c r="A28" s="21" t="s">
        <v>25</v>
      </c>
      <c r="B28" s="22"/>
      <c r="C28" s="10"/>
      <c r="D28" s="10"/>
      <c r="E28" s="7">
        <f>SUM(E26:E27)</f>
        <v>3210.2048148148151</v>
      </c>
    </row>
    <row r="29" spans="1:5" ht="24.95" customHeight="1" thickBot="1" x14ac:dyDescent="0.25">
      <c r="A29" s="188" t="s">
        <v>27</v>
      </c>
      <c r="B29" s="191" t="s">
        <v>79</v>
      </c>
      <c r="C29" s="192"/>
      <c r="D29" s="193"/>
      <c r="E29" s="7">
        <f>3*(E26+E27)</f>
        <v>9630.6144444444453</v>
      </c>
    </row>
    <row r="30" spans="1:5" ht="24.95" customHeight="1" thickBot="1" x14ac:dyDescent="0.25">
      <c r="A30" s="189"/>
      <c r="B30" s="191" t="s">
        <v>19</v>
      </c>
      <c r="C30" s="192"/>
      <c r="D30" s="193"/>
      <c r="E30" s="7">
        <f>E29*0.25</f>
        <v>2407.6536111111113</v>
      </c>
    </row>
    <row r="31" spans="1:5" ht="24.95" customHeight="1" thickBot="1" x14ac:dyDescent="0.25">
      <c r="A31" s="189"/>
      <c r="B31" s="191" t="s">
        <v>20</v>
      </c>
      <c r="C31" s="192"/>
      <c r="D31" s="193"/>
      <c r="E31" s="7">
        <f>SUM(E29:E30)</f>
        <v>12038.268055555556</v>
      </c>
    </row>
    <row r="32" spans="1:5" ht="24.95" customHeight="1" thickBot="1" x14ac:dyDescent="0.25">
      <c r="A32" s="190"/>
      <c r="B32" s="191" t="s">
        <v>21</v>
      </c>
      <c r="C32" s="192"/>
      <c r="D32" s="193"/>
      <c r="E32" s="7">
        <f>E31*0.2</f>
        <v>2407.6536111111113</v>
      </c>
    </row>
    <row r="33" spans="1:6" ht="24.95" customHeight="1" thickBot="1" x14ac:dyDescent="0.25">
      <c r="A33" s="23" t="s">
        <v>39</v>
      </c>
      <c r="B33" s="194"/>
      <c r="C33" s="195"/>
      <c r="D33" s="196"/>
      <c r="E33" s="26">
        <f>SUM(E31:E32)</f>
        <v>14445.921666666667</v>
      </c>
    </row>
    <row r="34" spans="1:6" ht="24.95" customHeight="1" thickBot="1" x14ac:dyDescent="0.25">
      <c r="A34" s="197" t="s">
        <v>66</v>
      </c>
      <c r="B34" s="198"/>
      <c r="C34" s="198"/>
      <c r="D34" s="198"/>
      <c r="E34" s="24">
        <f>E11+E33+E22</f>
        <v>135986.39944444445</v>
      </c>
      <c r="F34" s="46" t="s">
        <v>65</v>
      </c>
    </row>
    <row r="35" spans="1:6" ht="25.5" x14ac:dyDescent="0.2">
      <c r="A35" s="12"/>
      <c r="D35" s="43" t="s">
        <v>74</v>
      </c>
      <c r="E35" s="49">
        <f>E34-'2021'!E42</f>
        <v>3946.7883333333593</v>
      </c>
    </row>
    <row r="36" spans="1:6" x14ac:dyDescent="0.2">
      <c r="A36" s="12"/>
      <c r="D36" s="43"/>
      <c r="E36" s="47">
        <f>E34/'2021'!E42</f>
        <v>1.0298909418175439</v>
      </c>
    </row>
    <row r="37" spans="1:6" x14ac:dyDescent="0.2">
      <c r="A37" s="12"/>
    </row>
    <row r="38" spans="1:6" x14ac:dyDescent="0.2">
      <c r="A38" s="12"/>
      <c r="E38" s="31"/>
    </row>
    <row r="39" spans="1:6" x14ac:dyDescent="0.2">
      <c r="A39" s="12"/>
    </row>
    <row r="40" spans="1:6" x14ac:dyDescent="0.2">
      <c r="A40" s="12"/>
    </row>
    <row r="41" spans="1:6" x14ac:dyDescent="0.2">
      <c r="A41" s="12"/>
    </row>
    <row r="42" spans="1:6" x14ac:dyDescent="0.2">
      <c r="A42" s="12"/>
    </row>
    <row r="43" spans="1:6" ht="26.25" thickBot="1" x14ac:dyDescent="0.25">
      <c r="A43" s="12"/>
      <c r="B43" s="54" t="s">
        <v>81</v>
      </c>
    </row>
    <row r="44" spans="1:6" ht="64.5" customHeight="1" thickBot="1" x14ac:dyDescent="0.25">
      <c r="A44" s="2" t="s">
        <v>0</v>
      </c>
      <c r="B44" s="2" t="s">
        <v>1</v>
      </c>
      <c r="C44" s="3" t="s">
        <v>2</v>
      </c>
      <c r="D44" s="44"/>
      <c r="E44" s="16"/>
    </row>
    <row r="45" spans="1:6" ht="14.25" customHeight="1" thickBot="1" x14ac:dyDescent="0.25">
      <c r="A45" s="21" t="s">
        <v>49</v>
      </c>
      <c r="B45" s="25">
        <f>412*1.03</f>
        <v>424.36</v>
      </c>
      <c r="C45" s="6">
        <f>B45/21.6</f>
        <v>19.646296296296295</v>
      </c>
      <c r="D45" s="45">
        <v>340</v>
      </c>
      <c r="E45" s="14"/>
    </row>
    <row r="46" spans="1:6" ht="13.5" thickBot="1" x14ac:dyDescent="0.25">
      <c r="A46" s="21" t="s">
        <v>50</v>
      </c>
      <c r="B46" s="25">
        <f>329.6*1.03</f>
        <v>339.48800000000006</v>
      </c>
      <c r="C46" s="6">
        <f>B46/21.6</f>
        <v>15.717037037037038</v>
      </c>
      <c r="D46" s="45">
        <v>310</v>
      </c>
      <c r="E46" s="14"/>
    </row>
    <row r="47" spans="1:6" ht="13.5" thickBot="1" x14ac:dyDescent="0.25">
      <c r="A47" s="21" t="s">
        <v>51</v>
      </c>
      <c r="B47" s="25">
        <f>257.5*1.03</f>
        <v>265.22500000000002</v>
      </c>
      <c r="C47" s="6">
        <f>B47/21.6</f>
        <v>12.278935185185185</v>
      </c>
      <c r="D47" s="45">
        <v>260</v>
      </c>
      <c r="E47" s="14"/>
    </row>
    <row r="48" spans="1:6" ht="13.5" thickBot="1" x14ac:dyDescent="0.25">
      <c r="A48" s="21" t="s">
        <v>52</v>
      </c>
      <c r="B48" s="25">
        <f>185.4*1.03</f>
        <v>190.96200000000002</v>
      </c>
      <c r="C48" s="6">
        <f>B48/21.6</f>
        <v>8.8408333333333342</v>
      </c>
      <c r="D48" s="45">
        <v>190</v>
      </c>
      <c r="E48" s="14"/>
    </row>
    <row r="49" spans="1:5" ht="13.5" thickBot="1" x14ac:dyDescent="0.25">
      <c r="A49" s="39"/>
      <c r="B49" s="16"/>
      <c r="C49" s="16"/>
      <c r="D49" s="44"/>
      <c r="E49" s="16"/>
    </row>
    <row r="50" spans="1:5" ht="21.75" thickBot="1" x14ac:dyDescent="0.25">
      <c r="A50" s="17" t="s">
        <v>4</v>
      </c>
      <c r="B50" s="3">
        <v>200</v>
      </c>
      <c r="D50" s="44"/>
      <c r="E50" s="16"/>
    </row>
    <row r="51" spans="1:5" x14ac:dyDescent="0.2">
      <c r="D51" s="43"/>
    </row>
  </sheetData>
  <mergeCells count="23">
    <mergeCell ref="A34:D34"/>
    <mergeCell ref="B33:D33"/>
    <mergeCell ref="B22:D22"/>
    <mergeCell ref="A24:E24"/>
    <mergeCell ref="A29:A32"/>
    <mergeCell ref="B29:D29"/>
    <mergeCell ref="B30:D30"/>
    <mergeCell ref="B31:D31"/>
    <mergeCell ref="B32:D32"/>
    <mergeCell ref="B11:D11"/>
    <mergeCell ref="A13:E13"/>
    <mergeCell ref="A17:A21"/>
    <mergeCell ref="B17:D17"/>
    <mergeCell ref="B18:D18"/>
    <mergeCell ref="B19:D19"/>
    <mergeCell ref="B20:D20"/>
    <mergeCell ref="B21:D21"/>
    <mergeCell ref="A1:E1"/>
    <mergeCell ref="A7:A10"/>
    <mergeCell ref="B7:D7"/>
    <mergeCell ref="B8:D8"/>
    <mergeCell ref="B9:D9"/>
    <mergeCell ref="B10:D10"/>
  </mergeCells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8"/>
  <sheetViews>
    <sheetView topLeftCell="A28" workbookViewId="0">
      <selection activeCell="L34" sqref="L34"/>
    </sheetView>
  </sheetViews>
  <sheetFormatPr defaultRowHeight="12.75" x14ac:dyDescent="0.2"/>
  <cols>
    <col min="1" max="1" width="35.140625" style="18" customWidth="1"/>
    <col min="2" max="2" width="11.7109375" style="11" customWidth="1"/>
    <col min="3" max="3" width="13.85546875" style="11" customWidth="1"/>
    <col min="4" max="4" width="13.42578125" style="11" customWidth="1"/>
    <col min="5" max="5" width="15.7109375" style="11" customWidth="1"/>
    <col min="6" max="16384" width="9.140625" style="1"/>
  </cols>
  <sheetData>
    <row r="1" spans="1:5" ht="20.100000000000001" customHeight="1" thickBot="1" x14ac:dyDescent="0.25">
      <c r="A1" s="187" t="s">
        <v>8</v>
      </c>
      <c r="B1" s="187"/>
      <c r="C1" s="187"/>
      <c r="D1" s="187"/>
      <c r="E1" s="187"/>
    </row>
    <row r="2" spans="1:5" ht="30" customHeight="1" thickBot="1" x14ac:dyDescent="0.25">
      <c r="A2" s="19" t="s">
        <v>9</v>
      </c>
      <c r="B2" s="20" t="s">
        <v>10</v>
      </c>
      <c r="C2" s="20" t="s">
        <v>11</v>
      </c>
      <c r="D2" s="20" t="s">
        <v>12</v>
      </c>
      <c r="E2" s="20" t="s">
        <v>13</v>
      </c>
    </row>
    <row r="3" spans="1:5" ht="30" customHeight="1" thickBot="1" x14ac:dyDescent="0.25">
      <c r="A3" s="21" t="s">
        <v>14</v>
      </c>
      <c r="B3" s="22" t="s">
        <v>17</v>
      </c>
      <c r="C3" s="5">
        <v>465</v>
      </c>
      <c r="D3" s="6">
        <f>C53</f>
        <v>14.351851851851851</v>
      </c>
      <c r="E3" s="7">
        <f>C3*D3</f>
        <v>6673.6111111111104</v>
      </c>
    </row>
    <row r="4" spans="1:5" ht="30" customHeight="1" thickBot="1" x14ac:dyDescent="0.25">
      <c r="A4" s="21" t="s">
        <v>15</v>
      </c>
      <c r="B4" s="22" t="s">
        <v>17</v>
      </c>
      <c r="C4" s="5">
        <v>965</v>
      </c>
      <c r="D4" s="6">
        <f>C53</f>
        <v>14.351851851851851</v>
      </c>
      <c r="E4" s="7">
        <f>C4*D4</f>
        <v>13849.537037037036</v>
      </c>
    </row>
    <row r="5" spans="1:5" ht="50.1" customHeight="1" thickBot="1" x14ac:dyDescent="0.25">
      <c r="A5" s="21" t="s">
        <v>16</v>
      </c>
      <c r="B5" s="22" t="s">
        <v>17</v>
      </c>
      <c r="C5" s="5">
        <v>1400</v>
      </c>
      <c r="D5" s="6">
        <f>C53</f>
        <v>14.351851851851851</v>
      </c>
      <c r="E5" s="7">
        <f>C5*D5</f>
        <v>20092.592592592591</v>
      </c>
    </row>
    <row r="6" spans="1:5" ht="50.1" customHeight="1" thickBot="1" x14ac:dyDescent="0.25">
      <c r="A6" s="21" t="s">
        <v>40</v>
      </c>
      <c r="B6" s="22" t="s">
        <v>17</v>
      </c>
      <c r="C6" s="5">
        <v>550</v>
      </c>
      <c r="D6" s="6">
        <f>C53</f>
        <v>14.351851851851851</v>
      </c>
      <c r="E6" s="7">
        <f>C6*D6</f>
        <v>7893.5185185185182</v>
      </c>
    </row>
    <row r="7" spans="1:5" ht="24.95" customHeight="1" thickBot="1" x14ac:dyDescent="0.25">
      <c r="A7" s="188" t="s">
        <v>27</v>
      </c>
      <c r="B7" s="191" t="s">
        <v>18</v>
      </c>
      <c r="C7" s="192"/>
      <c r="D7" s="193"/>
      <c r="E7" s="7">
        <f>SUM(E3:E6)</f>
        <v>48509.259259259255</v>
      </c>
    </row>
    <row r="8" spans="1:5" ht="24.95" customHeight="1" thickBot="1" x14ac:dyDescent="0.25">
      <c r="A8" s="189"/>
      <c r="B8" s="191" t="s">
        <v>19</v>
      </c>
      <c r="C8" s="192"/>
      <c r="D8" s="193"/>
      <c r="E8" s="7">
        <f>E7*0.25</f>
        <v>12127.314814814814</v>
      </c>
    </row>
    <row r="9" spans="1:5" ht="24.95" customHeight="1" thickBot="1" x14ac:dyDescent="0.25">
      <c r="A9" s="189"/>
      <c r="B9" s="191" t="s">
        <v>20</v>
      </c>
      <c r="C9" s="192"/>
      <c r="D9" s="193"/>
      <c r="E9" s="7">
        <f>SUM(E7:E8)</f>
        <v>60636.574074074073</v>
      </c>
    </row>
    <row r="10" spans="1:5" ht="24.95" customHeight="1" thickBot="1" x14ac:dyDescent="0.25">
      <c r="A10" s="190"/>
      <c r="B10" s="191" t="s">
        <v>21</v>
      </c>
      <c r="C10" s="192"/>
      <c r="D10" s="193"/>
      <c r="E10" s="7">
        <f>E9*0.2</f>
        <v>12127.314814814816</v>
      </c>
    </row>
    <row r="11" spans="1:5" ht="24.95" customHeight="1" thickBot="1" x14ac:dyDescent="0.25">
      <c r="A11" s="23" t="s">
        <v>22</v>
      </c>
      <c r="B11" s="194"/>
      <c r="C11" s="195"/>
      <c r="D11" s="196"/>
      <c r="E11" s="26">
        <f>SUM(E9:E10)</f>
        <v>72763.888888888891</v>
      </c>
    </row>
    <row r="12" spans="1:5" x14ac:dyDescent="0.2">
      <c r="A12" s="8"/>
      <c r="B12" s="9"/>
      <c r="C12" s="9"/>
      <c r="D12" s="9"/>
      <c r="E12" s="9"/>
    </row>
    <row r="13" spans="1:5" ht="24" customHeight="1" thickBot="1" x14ac:dyDescent="0.25">
      <c r="A13" s="187" t="s">
        <v>64</v>
      </c>
      <c r="B13" s="187"/>
      <c r="C13" s="187"/>
      <c r="D13" s="187"/>
      <c r="E13" s="187"/>
    </row>
    <row r="14" spans="1:5" ht="24.95" customHeight="1" thickBot="1" x14ac:dyDescent="0.25">
      <c r="A14" s="19" t="s">
        <v>9</v>
      </c>
      <c r="B14" s="20" t="s">
        <v>10</v>
      </c>
      <c r="C14" s="20" t="s">
        <v>11</v>
      </c>
      <c r="D14" s="20" t="s">
        <v>12</v>
      </c>
      <c r="E14" s="20" t="s">
        <v>13</v>
      </c>
    </row>
    <row r="15" spans="1:5" ht="24.95" customHeight="1" thickBot="1" x14ac:dyDescent="0.25">
      <c r="A15" s="21" t="s">
        <v>49</v>
      </c>
      <c r="B15" s="22" t="s">
        <v>17</v>
      </c>
      <c r="C15" s="5">
        <v>800</v>
      </c>
      <c r="D15" s="6">
        <f>C53</f>
        <v>14.351851851851851</v>
      </c>
      <c r="E15" s="7">
        <f>C15*D15</f>
        <v>11481.481481481482</v>
      </c>
    </row>
    <row r="16" spans="1:5" ht="24.95" customHeight="1" thickBot="1" x14ac:dyDescent="0.25">
      <c r="A16" s="21" t="s">
        <v>50</v>
      </c>
      <c r="B16" s="22" t="s">
        <v>17</v>
      </c>
      <c r="C16" s="5">
        <v>800</v>
      </c>
      <c r="D16" s="6">
        <f>C54</f>
        <v>12.962962962962962</v>
      </c>
      <c r="E16" s="7">
        <f>C16*D16</f>
        <v>10370.370370370369</v>
      </c>
    </row>
    <row r="17" spans="1:5" ht="24.95" customHeight="1" thickBot="1" x14ac:dyDescent="0.25">
      <c r="A17" s="188" t="s">
        <v>27</v>
      </c>
      <c r="B17" s="191" t="s">
        <v>54</v>
      </c>
      <c r="C17" s="192"/>
      <c r="D17" s="193"/>
      <c r="E17" s="7">
        <f>E15+E16</f>
        <v>21851.85185185185</v>
      </c>
    </row>
    <row r="18" spans="1:5" ht="24.95" customHeight="1" thickBot="1" x14ac:dyDescent="0.25">
      <c r="A18" s="189"/>
      <c r="B18" s="191" t="s">
        <v>58</v>
      </c>
      <c r="C18" s="192"/>
      <c r="D18" s="193"/>
      <c r="E18" s="7">
        <f>E17*0.4</f>
        <v>8740.7407407407409</v>
      </c>
    </row>
    <row r="19" spans="1:5" ht="24.95" customHeight="1" thickBot="1" x14ac:dyDescent="0.25">
      <c r="A19" s="189"/>
      <c r="B19" s="191" t="s">
        <v>57</v>
      </c>
      <c r="C19" s="192"/>
      <c r="D19" s="193"/>
      <c r="E19" s="7">
        <v>400</v>
      </c>
    </row>
    <row r="20" spans="1:5" ht="24.95" customHeight="1" thickBot="1" x14ac:dyDescent="0.25">
      <c r="A20" s="189"/>
      <c r="B20" s="191" t="s">
        <v>20</v>
      </c>
      <c r="C20" s="192"/>
      <c r="D20" s="193"/>
      <c r="E20" s="7">
        <f>SUM(E17:E19)</f>
        <v>30992.592592592591</v>
      </c>
    </row>
    <row r="21" spans="1:5" ht="24.95" customHeight="1" thickBot="1" x14ac:dyDescent="0.25">
      <c r="A21" s="190"/>
      <c r="B21" s="191" t="s">
        <v>21</v>
      </c>
      <c r="C21" s="192"/>
      <c r="D21" s="193"/>
      <c r="E21" s="7">
        <f>E20*0.2</f>
        <v>6198.5185185185182</v>
      </c>
    </row>
    <row r="22" spans="1:5" ht="24.95" customHeight="1" thickBot="1" x14ac:dyDescent="0.25">
      <c r="A22" s="23" t="s">
        <v>26</v>
      </c>
      <c r="B22" s="194"/>
      <c r="C22" s="195"/>
      <c r="D22" s="196"/>
      <c r="E22" s="26">
        <f>SUM(E20:E21)</f>
        <v>37191.111111111109</v>
      </c>
    </row>
    <row r="23" spans="1:5" ht="24.95" customHeight="1" x14ac:dyDescent="0.2">
      <c r="A23" s="33"/>
      <c r="B23" s="34"/>
      <c r="C23" s="34"/>
      <c r="D23" s="34"/>
      <c r="E23" s="35"/>
    </row>
    <row r="24" spans="1:5" ht="24" customHeight="1" thickBot="1" x14ac:dyDescent="0.25">
      <c r="A24" s="187" t="s">
        <v>55</v>
      </c>
      <c r="B24" s="187"/>
      <c r="C24" s="187"/>
      <c r="D24" s="187"/>
      <c r="E24" s="187"/>
    </row>
    <row r="25" spans="1:5" ht="24.95" customHeight="1" thickBot="1" x14ac:dyDescent="0.25">
      <c r="A25" s="19" t="s">
        <v>9</v>
      </c>
      <c r="B25" s="20" t="s">
        <v>10</v>
      </c>
      <c r="C25" s="20" t="s">
        <v>11</v>
      </c>
      <c r="D25" s="20" t="s">
        <v>12</v>
      </c>
      <c r="E25" s="20" t="s">
        <v>13</v>
      </c>
    </row>
    <row r="26" spans="1:5" ht="24.95" customHeight="1" thickBot="1" x14ac:dyDescent="0.25">
      <c r="A26" s="21" t="s">
        <v>23</v>
      </c>
      <c r="B26" s="22" t="s">
        <v>17</v>
      </c>
      <c r="C26" s="5">
        <v>252</v>
      </c>
      <c r="D26" s="6">
        <f>C56</f>
        <v>7.4074074074074066</v>
      </c>
      <c r="E26" s="7">
        <f>C26*D26</f>
        <v>1866.6666666666665</v>
      </c>
    </row>
    <row r="27" spans="1:5" ht="24.95" customHeight="1" thickBot="1" x14ac:dyDescent="0.25">
      <c r="A27" s="21" t="s">
        <v>24</v>
      </c>
      <c r="B27" s="22" t="s">
        <v>17</v>
      </c>
      <c r="C27" s="5">
        <v>50</v>
      </c>
      <c r="D27" s="6">
        <f>C53</f>
        <v>14.351851851851851</v>
      </c>
      <c r="E27" s="7">
        <f>C27*D27</f>
        <v>717.59259259259261</v>
      </c>
    </row>
    <row r="28" spans="1:5" ht="24.95" customHeight="1" thickBot="1" x14ac:dyDescent="0.25">
      <c r="A28" s="21" t="s">
        <v>25</v>
      </c>
      <c r="B28" s="22"/>
      <c r="C28" s="10"/>
      <c r="D28" s="10"/>
      <c r="E28" s="7">
        <f>SUM(E26:E27)</f>
        <v>2584.2592592592591</v>
      </c>
    </row>
    <row r="29" spans="1:5" ht="24.95" customHeight="1" thickBot="1" x14ac:dyDescent="0.25">
      <c r="A29" s="188" t="s">
        <v>27</v>
      </c>
      <c r="B29" s="191" t="s">
        <v>62</v>
      </c>
      <c r="C29" s="192"/>
      <c r="D29" s="193"/>
      <c r="E29" s="7">
        <f>4*(E26+E27)</f>
        <v>10337.037037037036</v>
      </c>
    </row>
    <row r="30" spans="1:5" ht="24.95" customHeight="1" thickBot="1" x14ac:dyDescent="0.25">
      <c r="A30" s="189"/>
      <c r="B30" s="191" t="s">
        <v>19</v>
      </c>
      <c r="C30" s="192"/>
      <c r="D30" s="193"/>
      <c r="E30" s="7">
        <f>E29*0.25</f>
        <v>2584.2592592592591</v>
      </c>
    </row>
    <row r="31" spans="1:5" ht="24.95" customHeight="1" thickBot="1" x14ac:dyDescent="0.25">
      <c r="A31" s="189"/>
      <c r="B31" s="191" t="s">
        <v>20</v>
      </c>
      <c r="C31" s="192"/>
      <c r="D31" s="193"/>
      <c r="E31" s="7">
        <f>SUM(E29:E30)</f>
        <v>12921.296296296296</v>
      </c>
    </row>
    <row r="32" spans="1:5" ht="24.95" customHeight="1" thickBot="1" x14ac:dyDescent="0.25">
      <c r="A32" s="190"/>
      <c r="B32" s="191" t="s">
        <v>21</v>
      </c>
      <c r="C32" s="192"/>
      <c r="D32" s="193"/>
      <c r="E32" s="7">
        <f>E31*0.2</f>
        <v>2584.2592592592591</v>
      </c>
    </row>
    <row r="33" spans="1:5" ht="24.95" customHeight="1" thickBot="1" x14ac:dyDescent="0.25">
      <c r="A33" s="23" t="s">
        <v>39</v>
      </c>
      <c r="B33" s="194"/>
      <c r="C33" s="195"/>
      <c r="D33" s="196"/>
      <c r="E33" s="26">
        <f>SUM(E31:E32)</f>
        <v>15505.555555555555</v>
      </c>
    </row>
    <row r="34" spans="1:5" ht="33.75" customHeight="1" thickBot="1" x14ac:dyDescent="0.25">
      <c r="A34" s="187" t="s">
        <v>56</v>
      </c>
      <c r="B34" s="187"/>
      <c r="C34" s="187"/>
      <c r="D34" s="187"/>
      <c r="E34" s="187"/>
    </row>
    <row r="35" spans="1:5" ht="24.95" customHeight="1" thickBot="1" x14ac:dyDescent="0.25">
      <c r="A35" s="19" t="s">
        <v>9</v>
      </c>
      <c r="B35" s="20" t="s">
        <v>10</v>
      </c>
      <c r="C35" s="20" t="s">
        <v>11</v>
      </c>
      <c r="D35" s="20" t="s">
        <v>12</v>
      </c>
      <c r="E35" s="20" t="s">
        <v>13</v>
      </c>
    </row>
    <row r="36" spans="1:5" ht="66.75" customHeight="1" thickBot="1" x14ac:dyDescent="0.25">
      <c r="A36" s="40" t="s">
        <v>60</v>
      </c>
      <c r="B36" s="19" t="s">
        <v>17</v>
      </c>
      <c r="C36" s="5">
        <v>300</v>
      </c>
      <c r="D36" s="6">
        <f>C53</f>
        <v>14.351851851851851</v>
      </c>
      <c r="E36" s="7">
        <f>C36*D36</f>
        <v>4305.5555555555557</v>
      </c>
    </row>
    <row r="37" spans="1:5" ht="24.95" customHeight="1" thickBot="1" x14ac:dyDescent="0.25">
      <c r="A37" s="188" t="s">
        <v>27</v>
      </c>
      <c r="B37" s="191" t="s">
        <v>18</v>
      </c>
      <c r="C37" s="192"/>
      <c r="D37" s="193"/>
      <c r="E37" s="7">
        <f>SUM(E36:E36)</f>
        <v>4305.5555555555557</v>
      </c>
    </row>
    <row r="38" spans="1:5" ht="24.95" customHeight="1" thickBot="1" x14ac:dyDescent="0.25">
      <c r="A38" s="189"/>
      <c r="B38" s="191" t="s">
        <v>19</v>
      </c>
      <c r="C38" s="192"/>
      <c r="D38" s="193"/>
      <c r="E38" s="7">
        <f>E37*0.25</f>
        <v>1076.3888888888889</v>
      </c>
    </row>
    <row r="39" spans="1:5" ht="24.95" customHeight="1" thickBot="1" x14ac:dyDescent="0.25">
      <c r="A39" s="189"/>
      <c r="B39" s="191" t="s">
        <v>20</v>
      </c>
      <c r="C39" s="192"/>
      <c r="D39" s="193"/>
      <c r="E39" s="7">
        <f>SUM(E37:E38)</f>
        <v>5381.9444444444443</v>
      </c>
    </row>
    <row r="40" spans="1:5" ht="24.95" customHeight="1" thickBot="1" x14ac:dyDescent="0.25">
      <c r="A40" s="190"/>
      <c r="B40" s="191" t="s">
        <v>21</v>
      </c>
      <c r="C40" s="192"/>
      <c r="D40" s="193"/>
      <c r="E40" s="7">
        <f>E39*0.2</f>
        <v>1076.3888888888889</v>
      </c>
    </row>
    <row r="41" spans="1:5" ht="24.95" customHeight="1" thickBot="1" x14ac:dyDescent="0.25">
      <c r="A41" s="23" t="s">
        <v>59</v>
      </c>
      <c r="B41" s="194"/>
      <c r="C41" s="195"/>
      <c r="D41" s="196"/>
      <c r="E41" s="26">
        <f>SUM(E39:E40)</f>
        <v>6458.333333333333</v>
      </c>
    </row>
    <row r="42" spans="1:5" ht="24.95" customHeight="1" thickBot="1" x14ac:dyDescent="0.25">
      <c r="A42" s="197" t="s">
        <v>53</v>
      </c>
      <c r="B42" s="198"/>
      <c r="C42" s="198"/>
      <c r="D42" s="198"/>
      <c r="E42" s="24">
        <f>E11+E33+E41+E22</f>
        <v>131918.88888888888</v>
      </c>
    </row>
    <row r="43" spans="1:5" x14ac:dyDescent="0.2">
      <c r="A43" s="11"/>
      <c r="E43" s="30"/>
    </row>
    <row r="44" spans="1:5" x14ac:dyDescent="0.2">
      <c r="A44" s="11"/>
    </row>
    <row r="45" spans="1:5" x14ac:dyDescent="0.2">
      <c r="A45" s="11"/>
    </row>
    <row r="46" spans="1:5" x14ac:dyDescent="0.2">
      <c r="A46" s="11"/>
      <c r="E46" s="31"/>
    </row>
    <row r="47" spans="1:5" x14ac:dyDescent="0.2">
      <c r="A47" s="11"/>
    </row>
    <row r="48" spans="1:5" x14ac:dyDescent="0.2">
      <c r="A48" s="11"/>
    </row>
    <row r="49" spans="1:5" x14ac:dyDescent="0.2">
      <c r="A49" s="11"/>
    </row>
    <row r="50" spans="1:5" x14ac:dyDescent="0.2">
      <c r="A50" s="11"/>
    </row>
    <row r="51" spans="1:5" ht="13.5" thickBot="1" x14ac:dyDescent="0.25">
      <c r="A51" s="11"/>
      <c r="D51" s="12"/>
      <c r="E51" s="12"/>
    </row>
    <row r="52" spans="1:5" ht="64.5" customHeight="1" thickBot="1" x14ac:dyDescent="0.25">
      <c r="A52" s="2" t="s">
        <v>0</v>
      </c>
      <c r="B52" s="2" t="s">
        <v>1</v>
      </c>
      <c r="C52" s="3" t="s">
        <v>2</v>
      </c>
      <c r="D52" s="13"/>
      <c r="E52" s="13"/>
    </row>
    <row r="53" spans="1:5" ht="14.25" customHeight="1" thickBot="1" x14ac:dyDescent="0.25">
      <c r="A53" s="21" t="s">
        <v>49</v>
      </c>
      <c r="B53" s="25">
        <v>310</v>
      </c>
      <c r="C53" s="6">
        <f>B53/21.6</f>
        <v>14.351851851851851</v>
      </c>
      <c r="D53" s="14">
        <v>310</v>
      </c>
      <c r="E53" s="14"/>
    </row>
    <row r="54" spans="1:5" ht="13.5" thickBot="1" x14ac:dyDescent="0.25">
      <c r="A54" s="21" t="s">
        <v>50</v>
      </c>
      <c r="B54" s="25">
        <v>280</v>
      </c>
      <c r="C54" s="6">
        <f>B54/21.6</f>
        <v>12.962962962962962</v>
      </c>
      <c r="D54" s="14">
        <v>280</v>
      </c>
      <c r="E54" s="14"/>
    </row>
    <row r="55" spans="1:5" ht="13.5" thickBot="1" x14ac:dyDescent="0.25">
      <c r="A55" s="21" t="s">
        <v>51</v>
      </c>
      <c r="B55" s="25">
        <v>230</v>
      </c>
      <c r="C55" s="6">
        <f>B55/21.6</f>
        <v>10.648148148148147</v>
      </c>
      <c r="D55" s="14">
        <v>230</v>
      </c>
      <c r="E55" s="14"/>
    </row>
    <row r="56" spans="1:5" ht="13.5" thickBot="1" x14ac:dyDescent="0.25">
      <c r="A56" s="21" t="s">
        <v>52</v>
      </c>
      <c r="B56" s="25">
        <v>160</v>
      </c>
      <c r="C56" s="6">
        <f>B56/21.6</f>
        <v>7.4074074074074066</v>
      </c>
      <c r="D56" s="14">
        <v>160</v>
      </c>
      <c r="E56" s="14"/>
    </row>
    <row r="57" spans="1:5" ht="13.5" thickBot="1" x14ac:dyDescent="0.25">
      <c r="A57" s="39"/>
      <c r="B57" s="16"/>
      <c r="C57" s="16"/>
      <c r="D57" s="16"/>
      <c r="E57" s="16"/>
    </row>
    <row r="58" spans="1:5" ht="21.75" thickBot="1" x14ac:dyDescent="0.25">
      <c r="A58" s="17" t="s">
        <v>4</v>
      </c>
      <c r="B58" s="3">
        <v>200</v>
      </c>
      <c r="D58" s="16"/>
      <c r="E58" s="16"/>
    </row>
  </sheetData>
  <mergeCells count="30">
    <mergeCell ref="A1:E1"/>
    <mergeCell ref="A7:A10"/>
    <mergeCell ref="B7:D7"/>
    <mergeCell ref="B8:D8"/>
    <mergeCell ref="B9:D9"/>
    <mergeCell ref="B10:D10"/>
    <mergeCell ref="B11:D11"/>
    <mergeCell ref="A24:E24"/>
    <mergeCell ref="A29:A32"/>
    <mergeCell ref="B29:D29"/>
    <mergeCell ref="B30:D30"/>
    <mergeCell ref="B31:D31"/>
    <mergeCell ref="B32:D32"/>
    <mergeCell ref="A13:E13"/>
    <mergeCell ref="A17:A21"/>
    <mergeCell ref="B17:D17"/>
    <mergeCell ref="A42:D42"/>
    <mergeCell ref="B18:D18"/>
    <mergeCell ref="B19:D19"/>
    <mergeCell ref="B20:D20"/>
    <mergeCell ref="B21:D21"/>
    <mergeCell ref="B22:D22"/>
    <mergeCell ref="B41:D41"/>
    <mergeCell ref="B33:D33"/>
    <mergeCell ref="A34:E34"/>
    <mergeCell ref="A37:A40"/>
    <mergeCell ref="B37:D37"/>
    <mergeCell ref="B38:D38"/>
    <mergeCell ref="B39:D39"/>
    <mergeCell ref="B40:D40"/>
  </mergeCells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3"/>
  <sheetViews>
    <sheetView topLeftCell="A10" workbookViewId="0">
      <selection activeCell="A13" sqref="A13:IV15"/>
    </sheetView>
  </sheetViews>
  <sheetFormatPr defaultRowHeight="12.75" x14ac:dyDescent="0.2"/>
  <cols>
    <col min="1" max="1" width="35.140625" style="18" customWidth="1"/>
    <col min="2" max="2" width="11.7109375" style="11" customWidth="1"/>
    <col min="3" max="3" width="13.85546875" style="11" customWidth="1"/>
    <col min="4" max="4" width="13.42578125" style="11" customWidth="1"/>
    <col min="5" max="5" width="15.7109375" style="11" customWidth="1"/>
    <col min="6" max="6" width="11.5703125" style="42" bestFit="1" customWidth="1"/>
    <col min="7" max="7" width="11.5703125" style="18" bestFit="1" customWidth="1"/>
    <col min="8" max="8" width="13.85546875" style="18" customWidth="1"/>
    <col min="9" max="9" width="11.5703125" style="18" bestFit="1" customWidth="1"/>
    <col min="10" max="10" width="9.140625" style="18"/>
    <col min="11" max="16384" width="9.140625" style="1"/>
  </cols>
  <sheetData>
    <row r="1" spans="1:8" x14ac:dyDescent="0.2">
      <c r="A1" s="201" t="s">
        <v>88</v>
      </c>
      <c r="B1" s="201"/>
      <c r="C1" s="201"/>
      <c r="D1" s="201"/>
      <c r="E1" s="201"/>
      <c r="F1" s="201"/>
    </row>
    <row r="2" spans="1:8" ht="20.100000000000001" customHeight="1" x14ac:dyDescent="0.2">
      <c r="A2" s="205" t="s">
        <v>8</v>
      </c>
      <c r="B2" s="205"/>
      <c r="C2" s="205"/>
      <c r="D2" s="205"/>
      <c r="E2" s="205"/>
    </row>
    <row r="3" spans="1:8" ht="28.5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8" ht="30" customHeight="1" x14ac:dyDescent="0.2">
      <c r="A4" s="57" t="s">
        <v>85</v>
      </c>
      <c r="B4" s="58"/>
      <c r="C4" s="58"/>
      <c r="D4" s="58"/>
      <c r="E4" s="58"/>
    </row>
    <row r="5" spans="1:8" ht="19.899999999999999" customHeight="1" x14ac:dyDescent="0.2">
      <c r="A5" s="59" t="s">
        <v>49</v>
      </c>
      <c r="B5" s="56" t="s">
        <v>17</v>
      </c>
      <c r="C5" s="60">
        <v>265</v>
      </c>
      <c r="D5" s="61">
        <f>$C$65</f>
        <v>18.518518518518519</v>
      </c>
      <c r="E5" s="62">
        <f>C5*D5</f>
        <v>4907.4074074074078</v>
      </c>
      <c r="G5" s="18">
        <f>C5+C6+C8+C9+C11+C12+C14+C15</f>
        <v>2115</v>
      </c>
    </row>
    <row r="6" spans="1:8" ht="19.899999999999999" customHeight="1" x14ac:dyDescent="0.2">
      <c r="A6" s="59" t="s">
        <v>50</v>
      </c>
      <c r="B6" s="56" t="s">
        <v>17</v>
      </c>
      <c r="C6" s="60">
        <v>185</v>
      </c>
      <c r="D6" s="61">
        <f>$C$66</f>
        <v>14.814814814814813</v>
      </c>
      <c r="E6" s="62">
        <f>C6*D6</f>
        <v>2740.7407407407404</v>
      </c>
      <c r="F6" s="72"/>
    </row>
    <row r="7" spans="1:8" ht="30" customHeight="1" x14ac:dyDescent="0.2">
      <c r="A7" s="57" t="s">
        <v>15</v>
      </c>
      <c r="B7" s="56"/>
      <c r="C7" s="60"/>
      <c r="D7" s="61"/>
      <c r="E7" s="62"/>
      <c r="H7" s="77">
        <f>E18+E30</f>
        <v>1100</v>
      </c>
    </row>
    <row r="8" spans="1:8" ht="19.899999999999999" customHeight="1" x14ac:dyDescent="0.2">
      <c r="A8" s="59" t="s">
        <v>49</v>
      </c>
      <c r="B8" s="56" t="s">
        <v>17</v>
      </c>
      <c r="C8" s="60">
        <v>410</v>
      </c>
      <c r="D8" s="61">
        <f>$C$65</f>
        <v>18.518518518518519</v>
      </c>
      <c r="E8" s="62">
        <f>C8*D8</f>
        <v>7592.5925925925931</v>
      </c>
      <c r="H8" s="77">
        <f>E19+E31</f>
        <v>700</v>
      </c>
    </row>
    <row r="9" spans="1:8" ht="19.899999999999999" customHeight="1" x14ac:dyDescent="0.2">
      <c r="A9" s="59" t="s">
        <v>50</v>
      </c>
      <c r="B9" s="56" t="s">
        <v>17</v>
      </c>
      <c r="C9" s="60">
        <v>315</v>
      </c>
      <c r="D9" s="61">
        <f>$C$66</f>
        <v>14.814814814814813</v>
      </c>
      <c r="E9" s="62">
        <f>C9*D9</f>
        <v>4666.6666666666661</v>
      </c>
      <c r="F9" s="72"/>
    </row>
    <row r="10" spans="1:8" ht="50.1" customHeight="1" x14ac:dyDescent="0.2">
      <c r="A10" s="57" t="s">
        <v>16</v>
      </c>
      <c r="B10" s="56"/>
      <c r="C10" s="60"/>
      <c r="D10" s="61"/>
      <c r="E10" s="62"/>
    </row>
    <row r="11" spans="1:8" ht="19.899999999999999" customHeight="1" x14ac:dyDescent="0.2">
      <c r="A11" s="59" t="s">
        <v>49</v>
      </c>
      <c r="B11" s="56" t="s">
        <v>17</v>
      </c>
      <c r="C11" s="60">
        <v>315</v>
      </c>
      <c r="D11" s="61">
        <f>$C$65</f>
        <v>18.518518518518519</v>
      </c>
      <c r="E11" s="62">
        <f>C11*D11</f>
        <v>5833.3333333333339</v>
      </c>
    </row>
    <row r="12" spans="1:8" ht="19.899999999999999" customHeight="1" x14ac:dyDescent="0.2">
      <c r="A12" s="59" t="s">
        <v>50</v>
      </c>
      <c r="B12" s="56" t="s">
        <v>17</v>
      </c>
      <c r="C12" s="60">
        <v>295</v>
      </c>
      <c r="D12" s="61">
        <f>$C$66</f>
        <v>14.814814814814813</v>
      </c>
      <c r="E12" s="62">
        <f>C12*D12</f>
        <v>4370.3703703703695</v>
      </c>
      <c r="F12" s="72"/>
    </row>
    <row r="13" spans="1:8" ht="50.1" customHeight="1" x14ac:dyDescent="0.2">
      <c r="A13" s="57" t="s">
        <v>40</v>
      </c>
      <c r="B13" s="56"/>
      <c r="C13" s="60"/>
      <c r="D13" s="61"/>
      <c r="E13" s="62"/>
      <c r="F13" s="55"/>
    </row>
    <row r="14" spans="1:8" ht="19.899999999999999" customHeight="1" x14ac:dyDescent="0.2">
      <c r="A14" s="59" t="s">
        <v>49</v>
      </c>
      <c r="B14" s="56" t="s">
        <v>17</v>
      </c>
      <c r="C14" s="60">
        <v>205</v>
      </c>
      <c r="D14" s="61">
        <f>$C$65</f>
        <v>18.518518518518519</v>
      </c>
      <c r="E14" s="62">
        <f>C14*D14</f>
        <v>3796.2962962962965</v>
      </c>
      <c r="F14" s="55"/>
    </row>
    <row r="15" spans="1:8" ht="19.899999999999999" customHeight="1" x14ac:dyDescent="0.2">
      <c r="A15" s="59" t="s">
        <v>50</v>
      </c>
      <c r="B15" s="56" t="s">
        <v>17</v>
      </c>
      <c r="C15" s="60">
        <v>125</v>
      </c>
      <c r="D15" s="61">
        <f>$C$66</f>
        <v>14.814814814814813</v>
      </c>
      <c r="E15" s="62">
        <f>C15*D15</f>
        <v>1851.8518518518517</v>
      </c>
      <c r="F15" s="72"/>
    </row>
    <row r="16" spans="1:8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35759.259259259263</v>
      </c>
      <c r="F16" s="55"/>
    </row>
    <row r="17" spans="1:7" ht="24.95" customHeight="1" x14ac:dyDescent="0.2">
      <c r="A17" s="206"/>
      <c r="B17" s="207" t="s">
        <v>87</v>
      </c>
      <c r="C17" s="207"/>
      <c r="D17" s="207"/>
      <c r="E17" s="62">
        <f>16842.236*0.741</f>
        <v>12480.096876</v>
      </c>
      <c r="F17" s="74"/>
      <c r="G17" s="69"/>
    </row>
    <row r="18" spans="1:7" ht="24.95" customHeight="1" x14ac:dyDescent="0.2">
      <c r="A18" s="206"/>
      <c r="B18" s="207" t="s">
        <v>83</v>
      </c>
      <c r="C18" s="207"/>
      <c r="D18" s="207"/>
      <c r="E18" s="62">
        <v>800</v>
      </c>
    </row>
    <row r="19" spans="1:7" ht="24.95" customHeight="1" x14ac:dyDescent="0.2">
      <c r="A19" s="206"/>
      <c r="B19" s="207" t="s">
        <v>57</v>
      </c>
      <c r="C19" s="207"/>
      <c r="D19" s="207"/>
      <c r="E19" s="62">
        <v>600</v>
      </c>
      <c r="F19" s="55"/>
    </row>
    <row r="20" spans="1:7" ht="24.95" customHeight="1" x14ac:dyDescent="0.2">
      <c r="A20" s="206"/>
      <c r="B20" s="207" t="s">
        <v>20</v>
      </c>
      <c r="C20" s="207"/>
      <c r="D20" s="207"/>
      <c r="E20" s="62">
        <f>SUM(E16:E17)+E18+E19</f>
        <v>49639.356135259266</v>
      </c>
      <c r="F20" s="55"/>
    </row>
    <row r="21" spans="1:7" ht="24.95" customHeight="1" x14ac:dyDescent="0.2">
      <c r="A21" s="206"/>
      <c r="B21" s="207" t="s">
        <v>21</v>
      </c>
      <c r="C21" s="207"/>
      <c r="D21" s="207"/>
      <c r="E21" s="62">
        <f>E20*0.2</f>
        <v>9927.8712270518536</v>
      </c>
      <c r="F21" s="72"/>
    </row>
    <row r="22" spans="1:7" ht="24.95" customHeight="1" x14ac:dyDescent="0.2">
      <c r="A22" s="64" t="s">
        <v>22</v>
      </c>
      <c r="B22" s="202"/>
      <c r="C22" s="202"/>
      <c r="D22" s="202"/>
      <c r="E22" s="65">
        <f>SUM(E20:E21)</f>
        <v>59567.227362311118</v>
      </c>
      <c r="F22" s="55"/>
    </row>
    <row r="23" spans="1:7" x14ac:dyDescent="0.2">
      <c r="A23" s="8"/>
      <c r="B23" s="9"/>
      <c r="C23" s="9">
        <f>SUM(C5:C15)</f>
        <v>2115</v>
      </c>
      <c r="D23" s="9"/>
      <c r="E23" s="9"/>
    </row>
    <row r="24" spans="1:7" ht="28.15" customHeight="1" x14ac:dyDescent="0.2">
      <c r="A24" s="205" t="s">
        <v>84</v>
      </c>
      <c r="B24" s="205"/>
      <c r="C24" s="205"/>
      <c r="D24" s="205"/>
      <c r="E24" s="205"/>
    </row>
    <row r="25" spans="1:7" ht="24.95" customHeight="1" x14ac:dyDescent="0.2">
      <c r="A25" s="56" t="s">
        <v>9</v>
      </c>
      <c r="B25" s="56" t="s">
        <v>10</v>
      </c>
      <c r="C25" s="56" t="s">
        <v>11</v>
      </c>
      <c r="D25" s="56" t="s">
        <v>12</v>
      </c>
      <c r="E25" s="56" t="s">
        <v>13</v>
      </c>
    </row>
    <row r="26" spans="1:7" ht="24.95" customHeight="1" x14ac:dyDescent="0.2">
      <c r="A26" s="67" t="s">
        <v>49</v>
      </c>
      <c r="B26" s="56" t="s">
        <v>17</v>
      </c>
      <c r="C26" s="60">
        <v>260</v>
      </c>
      <c r="D26" s="61">
        <f>C65</f>
        <v>18.518518518518519</v>
      </c>
      <c r="E26" s="62">
        <f>C26*D26</f>
        <v>4814.8148148148148</v>
      </c>
    </row>
    <row r="27" spans="1:7" ht="24.95" customHeight="1" x14ac:dyDescent="0.2">
      <c r="A27" s="67" t="s">
        <v>50</v>
      </c>
      <c r="B27" s="56" t="s">
        <v>17</v>
      </c>
      <c r="C27" s="60">
        <v>280</v>
      </c>
      <c r="D27" s="61">
        <f>C66</f>
        <v>14.814814814814813</v>
      </c>
      <c r="E27" s="62">
        <f>C27*D27</f>
        <v>4148.1481481481478</v>
      </c>
      <c r="F27" s="72"/>
    </row>
    <row r="28" spans="1:7" ht="24.95" customHeight="1" x14ac:dyDescent="0.2">
      <c r="A28" s="206" t="s">
        <v>86</v>
      </c>
      <c r="B28" s="207" t="s">
        <v>54</v>
      </c>
      <c r="C28" s="207"/>
      <c r="D28" s="207"/>
      <c r="E28" s="62">
        <f>E26+E27</f>
        <v>8962.9629629629635</v>
      </c>
    </row>
    <row r="29" spans="1:7" ht="24.95" customHeight="1" x14ac:dyDescent="0.2">
      <c r="A29" s="206"/>
      <c r="B29" s="207" t="s">
        <v>87</v>
      </c>
      <c r="C29" s="207"/>
      <c r="D29" s="207"/>
      <c r="E29" s="62">
        <v>8470</v>
      </c>
      <c r="F29" s="69"/>
    </row>
    <row r="30" spans="1:7" ht="24.95" customHeight="1" x14ac:dyDescent="0.2">
      <c r="A30" s="206"/>
      <c r="B30" s="207" t="s">
        <v>83</v>
      </c>
      <c r="C30" s="207"/>
      <c r="D30" s="207"/>
      <c r="E30" s="62">
        <v>300</v>
      </c>
      <c r="F30" s="69"/>
    </row>
    <row r="31" spans="1:7" ht="24.95" customHeight="1" x14ac:dyDescent="0.2">
      <c r="A31" s="206"/>
      <c r="B31" s="207" t="s">
        <v>57</v>
      </c>
      <c r="C31" s="207"/>
      <c r="D31" s="207"/>
      <c r="E31" s="62">
        <v>100</v>
      </c>
    </row>
    <row r="32" spans="1:7" ht="24.95" customHeight="1" x14ac:dyDescent="0.2">
      <c r="A32" s="206"/>
      <c r="B32" s="207" t="s">
        <v>20</v>
      </c>
      <c r="C32" s="207"/>
      <c r="D32" s="207"/>
      <c r="E32" s="62">
        <f>SUM(E28:E31)</f>
        <v>17832.962962962964</v>
      </c>
    </row>
    <row r="33" spans="1:9" ht="24.95" customHeight="1" x14ac:dyDescent="0.2">
      <c r="A33" s="206"/>
      <c r="B33" s="207" t="s">
        <v>21</v>
      </c>
      <c r="C33" s="207"/>
      <c r="D33" s="207"/>
      <c r="E33" s="62">
        <f>E32*0.2</f>
        <v>3566.5925925925931</v>
      </c>
      <c r="H33" s="18">
        <v>34</v>
      </c>
    </row>
    <row r="34" spans="1:9" ht="15.75" customHeight="1" x14ac:dyDescent="0.2">
      <c r="A34" s="64" t="s">
        <v>26</v>
      </c>
      <c r="B34" s="202"/>
      <c r="C34" s="202"/>
      <c r="D34" s="202"/>
      <c r="E34" s="65">
        <f>SUM(E32:E33)</f>
        <v>21399.555555555555</v>
      </c>
      <c r="I34" s="18">
        <f>H33-21.4</f>
        <v>12.600000000000001</v>
      </c>
    </row>
    <row r="35" spans="1:9" ht="24.95" customHeight="1" x14ac:dyDescent="0.2">
      <c r="A35" s="33"/>
      <c r="B35" s="34"/>
      <c r="C35" s="34">
        <f>SUM(C26:C27)</f>
        <v>540</v>
      </c>
      <c r="D35" s="34"/>
      <c r="E35" s="35"/>
    </row>
    <row r="36" spans="1:9" ht="24" customHeight="1" x14ac:dyDescent="0.2">
      <c r="A36" s="205" t="s">
        <v>82</v>
      </c>
      <c r="B36" s="205"/>
      <c r="C36" s="205"/>
      <c r="D36" s="205"/>
      <c r="E36" s="205"/>
    </row>
    <row r="37" spans="1:9" ht="24.95" customHeight="1" x14ac:dyDescent="0.2">
      <c r="A37" s="56" t="s">
        <v>9</v>
      </c>
      <c r="B37" s="56" t="s">
        <v>10</v>
      </c>
      <c r="C37" s="56" t="s">
        <v>11</v>
      </c>
      <c r="D37" s="56" t="s">
        <v>12</v>
      </c>
      <c r="E37" s="56" t="s">
        <v>13</v>
      </c>
    </row>
    <row r="38" spans="1:9" ht="24.95" customHeight="1" x14ac:dyDescent="0.2">
      <c r="A38" s="67" t="s">
        <v>23</v>
      </c>
      <c r="B38" s="56" t="s">
        <v>17</v>
      </c>
      <c r="C38" s="60">
        <v>252</v>
      </c>
      <c r="D38" s="61">
        <f>C68</f>
        <v>8.3333333333333321</v>
      </c>
      <c r="E38" s="62">
        <f>C38*D38</f>
        <v>2099.9999999999995</v>
      </c>
    </row>
    <row r="39" spans="1:9" ht="24.95" customHeight="1" x14ac:dyDescent="0.2">
      <c r="A39" s="67" t="s">
        <v>24</v>
      </c>
      <c r="B39" s="56" t="s">
        <v>17</v>
      </c>
      <c r="C39" s="60">
        <v>30</v>
      </c>
      <c r="D39" s="61">
        <f>C65</f>
        <v>18.518518518518519</v>
      </c>
      <c r="E39" s="62">
        <f>C39*D39</f>
        <v>555.55555555555554</v>
      </c>
      <c r="F39" s="72"/>
    </row>
    <row r="40" spans="1:9" ht="24.95" customHeight="1" x14ac:dyDescent="0.2">
      <c r="A40" s="67" t="s">
        <v>25</v>
      </c>
      <c r="B40" s="56"/>
      <c r="C40" s="68"/>
      <c r="D40" s="68"/>
      <c r="E40" s="62">
        <f>SUM(E38:E39)</f>
        <v>2655.5555555555552</v>
      </c>
    </row>
    <row r="41" spans="1:9" ht="24.95" customHeight="1" x14ac:dyDescent="0.2">
      <c r="A41" s="206" t="s">
        <v>86</v>
      </c>
      <c r="B41" s="207" t="s">
        <v>79</v>
      </c>
      <c r="C41" s="207"/>
      <c r="D41" s="207"/>
      <c r="E41" s="62">
        <f>3*(E38+E39)</f>
        <v>7966.6666666666661</v>
      </c>
    </row>
    <row r="42" spans="1:9" ht="24.95" customHeight="1" x14ac:dyDescent="0.2">
      <c r="A42" s="206"/>
      <c r="B42" s="207" t="s">
        <v>87</v>
      </c>
      <c r="C42" s="207"/>
      <c r="D42" s="207"/>
      <c r="E42" s="62">
        <f>16842.236*0.165</f>
        <v>2778.9689400000002</v>
      </c>
      <c r="F42" s="74"/>
      <c r="G42" s="69"/>
    </row>
    <row r="43" spans="1:9" ht="24.95" customHeight="1" x14ac:dyDescent="0.2">
      <c r="A43" s="206"/>
      <c r="B43" s="207" t="s">
        <v>20</v>
      </c>
      <c r="C43" s="207"/>
      <c r="D43" s="207"/>
      <c r="E43" s="62">
        <f>SUM(E41:E42)</f>
        <v>10745.635606666667</v>
      </c>
    </row>
    <row r="44" spans="1:9" ht="24.95" customHeight="1" x14ac:dyDescent="0.2">
      <c r="A44" s="206"/>
      <c r="B44" s="207" t="s">
        <v>21</v>
      </c>
      <c r="C44" s="207"/>
      <c r="D44" s="207"/>
      <c r="E44" s="62">
        <f>E43*0.2</f>
        <v>2149.1271213333334</v>
      </c>
    </row>
    <row r="45" spans="1:9" ht="24.95" customHeight="1" x14ac:dyDescent="0.2">
      <c r="A45" s="64" t="s">
        <v>39</v>
      </c>
      <c r="B45" s="202"/>
      <c r="C45" s="202"/>
      <c r="D45" s="202"/>
      <c r="E45" s="65">
        <f>SUM(E43:E44)</f>
        <v>12894.762728</v>
      </c>
    </row>
    <row r="46" spans="1:9" ht="24.95" customHeight="1" x14ac:dyDescent="0.2">
      <c r="A46" s="80"/>
      <c r="B46" s="81"/>
      <c r="C46" s="81">
        <f>SUM(C38:C39)</f>
        <v>282</v>
      </c>
      <c r="D46" s="81"/>
      <c r="E46" s="82"/>
    </row>
    <row r="47" spans="1:9" ht="24.95" customHeight="1" x14ac:dyDescent="0.2">
      <c r="A47" s="80"/>
      <c r="B47" s="81"/>
      <c r="C47" s="81"/>
      <c r="D47" s="81"/>
      <c r="E47" s="82"/>
    </row>
    <row r="48" spans="1:9" ht="33.75" customHeight="1" x14ac:dyDescent="0.2">
      <c r="A48" s="205" t="s">
        <v>68</v>
      </c>
      <c r="B48" s="205"/>
      <c r="C48" s="205"/>
      <c r="D48" s="205"/>
      <c r="E48" s="205"/>
    </row>
    <row r="49" spans="1:9" ht="24.95" customHeight="1" x14ac:dyDescent="0.2">
      <c r="A49" s="56" t="s">
        <v>9</v>
      </c>
      <c r="B49" s="56" t="s">
        <v>10</v>
      </c>
      <c r="C49" s="56" t="s">
        <v>11</v>
      </c>
      <c r="D49" s="56" t="s">
        <v>12</v>
      </c>
      <c r="E49" s="56" t="s">
        <v>13</v>
      </c>
    </row>
    <row r="50" spans="1:9" ht="90.75" customHeight="1" x14ac:dyDescent="0.2">
      <c r="A50" s="57" t="s">
        <v>67</v>
      </c>
      <c r="B50" s="56"/>
      <c r="C50" s="60"/>
      <c r="D50" s="61"/>
      <c r="E50" s="62"/>
    </row>
    <row r="51" spans="1:9" ht="19.899999999999999" customHeight="1" x14ac:dyDescent="0.2">
      <c r="A51" s="59" t="s">
        <v>49</v>
      </c>
      <c r="B51" s="56" t="s">
        <v>17</v>
      </c>
      <c r="C51" s="60">
        <v>245</v>
      </c>
      <c r="D51" s="61">
        <f>$C$65</f>
        <v>18.518518518518519</v>
      </c>
      <c r="E51" s="62">
        <f>C51*D51</f>
        <v>4537.0370370370374</v>
      </c>
      <c r="G51" s="18">
        <f>1574.1+1481.5+1481.5</f>
        <v>4537.1000000000004</v>
      </c>
    </row>
    <row r="52" spans="1:9" ht="24.95" customHeight="1" x14ac:dyDescent="0.2">
      <c r="A52" s="206" t="s">
        <v>86</v>
      </c>
      <c r="B52" s="207" t="s">
        <v>18</v>
      </c>
      <c r="C52" s="207"/>
      <c r="D52" s="207"/>
      <c r="E52" s="62">
        <f>SUM(E51:E51)</f>
        <v>4537.0370370370374</v>
      </c>
    </row>
    <row r="53" spans="1:9" ht="24.95" customHeight="1" x14ac:dyDescent="0.2">
      <c r="A53" s="206"/>
      <c r="B53" s="207" t="s">
        <v>87</v>
      </c>
      <c r="C53" s="207"/>
      <c r="D53" s="207"/>
      <c r="E53" s="62">
        <f>16842.236*0.094</f>
        <v>1583.1701840000001</v>
      </c>
      <c r="F53" s="74"/>
      <c r="G53" s="69"/>
    </row>
    <row r="54" spans="1:9" ht="24.95" customHeight="1" x14ac:dyDescent="0.2">
      <c r="A54" s="206"/>
      <c r="B54" s="207" t="s">
        <v>20</v>
      </c>
      <c r="C54" s="207"/>
      <c r="D54" s="207"/>
      <c r="E54" s="62">
        <f>SUM(E52:E53)</f>
        <v>6120.207221037037</v>
      </c>
    </row>
    <row r="55" spans="1:9" ht="24.95" customHeight="1" x14ac:dyDescent="0.2">
      <c r="A55" s="206"/>
      <c r="B55" s="207" t="s">
        <v>21</v>
      </c>
      <c r="C55" s="207"/>
      <c r="D55" s="207"/>
      <c r="E55" s="62">
        <f>E54*0.2</f>
        <v>1224.0414442074075</v>
      </c>
    </row>
    <row r="56" spans="1:9" ht="24.95" customHeight="1" x14ac:dyDescent="0.2">
      <c r="A56" s="64" t="s">
        <v>59</v>
      </c>
      <c r="B56" s="202"/>
      <c r="C56" s="202"/>
      <c r="D56" s="202"/>
      <c r="E56" s="65">
        <f>SUM(E54:E55)</f>
        <v>7344.2486652444441</v>
      </c>
    </row>
    <row r="57" spans="1:9" ht="24.95" customHeight="1" thickBot="1" x14ac:dyDescent="0.25">
      <c r="A57" s="203" t="s">
        <v>61</v>
      </c>
      <c r="B57" s="204"/>
      <c r="C57" s="204"/>
      <c r="D57" s="204"/>
      <c r="E57" s="26">
        <f>E22+E45+E56+E34</f>
        <v>101205.79431111112</v>
      </c>
    </row>
    <row r="58" spans="1:9" x14ac:dyDescent="0.2">
      <c r="A58" s="11"/>
      <c r="C58" s="11">
        <v>245</v>
      </c>
      <c r="E58" s="30"/>
    </row>
    <row r="59" spans="1:9" x14ac:dyDescent="0.2">
      <c r="A59" s="11"/>
      <c r="C59" s="11">
        <f>C58+C46+C35+C23</f>
        <v>3182</v>
      </c>
      <c r="E59" s="11">
        <f>E57/C59</f>
        <v>31.805717885327191</v>
      </c>
    </row>
    <row r="60" spans="1:9" x14ac:dyDescent="0.2">
      <c r="A60" s="11"/>
    </row>
    <row r="61" spans="1:9" x14ac:dyDescent="0.2">
      <c r="A61" s="11"/>
      <c r="E61" s="31"/>
    </row>
    <row r="62" spans="1:9" x14ac:dyDescent="0.2">
      <c r="A62" s="11"/>
    </row>
    <row r="63" spans="1:9" ht="13.5" thickBot="1" x14ac:dyDescent="0.25">
      <c r="A63" s="11"/>
    </row>
    <row r="64" spans="1:9" ht="42.75" thickBot="1" x14ac:dyDescent="0.25">
      <c r="A64" s="2" t="s">
        <v>0</v>
      </c>
      <c r="B64" s="2" t="s">
        <v>1</v>
      </c>
      <c r="C64" s="3" t="s">
        <v>2</v>
      </c>
      <c r="I64" s="18">
        <f>67279.8/27.099</f>
        <v>2482.7410605557402</v>
      </c>
    </row>
    <row r="65" spans="1:9" ht="13.5" thickBot="1" x14ac:dyDescent="0.25">
      <c r="A65" s="21" t="s">
        <v>49</v>
      </c>
      <c r="B65" s="25">
        <v>400</v>
      </c>
      <c r="C65" s="6">
        <f>B65/21.6</f>
        <v>18.518518518518519</v>
      </c>
      <c r="I65" s="18">
        <f>67279.8/2482.74</f>
        <v>27.099011575920155</v>
      </c>
    </row>
    <row r="66" spans="1:9" ht="13.5" thickBot="1" x14ac:dyDescent="0.25">
      <c r="A66" s="21" t="s">
        <v>50</v>
      </c>
      <c r="B66" s="25">
        <v>320</v>
      </c>
      <c r="C66" s="6">
        <f>B66/21.6</f>
        <v>14.814814814814813</v>
      </c>
      <c r="D66" s="43"/>
      <c r="E66" s="12"/>
    </row>
    <row r="67" spans="1:9" ht="64.5" customHeight="1" thickBot="1" x14ac:dyDescent="0.25">
      <c r="A67" s="21" t="s">
        <v>51</v>
      </c>
      <c r="B67" s="25">
        <v>250</v>
      </c>
      <c r="C67" s="6">
        <f>B67/21.6</f>
        <v>11.574074074074073</v>
      </c>
      <c r="D67" s="44" t="s">
        <v>77</v>
      </c>
      <c r="E67" s="13"/>
      <c r="I67" s="18">
        <f>385+65+70+70+135+75+120+65+65+65+65+55+40+25+130+340+70+35+30+40+560+50+85</f>
        <v>2640</v>
      </c>
    </row>
    <row r="68" spans="1:9" ht="14.25" customHeight="1" thickBot="1" x14ac:dyDescent="0.25">
      <c r="A68" s="21" t="s">
        <v>52</v>
      </c>
      <c r="B68" s="25">
        <v>180</v>
      </c>
      <c r="C68" s="6">
        <f>B68/21.6</f>
        <v>8.3333333333333321</v>
      </c>
      <c r="D68" s="45">
        <v>320</v>
      </c>
      <c r="E68" s="14"/>
    </row>
    <row r="69" spans="1:9" ht="13.5" thickBot="1" x14ac:dyDescent="0.25">
      <c r="A69" s="39"/>
      <c r="B69" s="16"/>
      <c r="C69" s="16"/>
      <c r="D69" s="45">
        <v>290</v>
      </c>
      <c r="E69" s="14"/>
      <c r="I69" s="18">
        <f>6727*9.6/I67</f>
        <v>24.461818181818181</v>
      </c>
    </row>
    <row r="70" spans="1:9" ht="36" customHeight="1" thickBot="1" x14ac:dyDescent="0.25">
      <c r="A70" s="17" t="s">
        <v>4</v>
      </c>
      <c r="B70" s="3">
        <v>200</v>
      </c>
      <c r="D70" s="45">
        <v>240</v>
      </c>
      <c r="E70" s="14"/>
      <c r="I70" s="18">
        <f>8527*9.4/24.46</f>
        <v>3276.9337694194605</v>
      </c>
    </row>
    <row r="71" spans="1:9" x14ac:dyDescent="0.2">
      <c r="D71" s="45">
        <v>170</v>
      </c>
      <c r="E71" s="14"/>
    </row>
    <row r="72" spans="1:9" x14ac:dyDescent="0.2">
      <c r="D72" s="44"/>
      <c r="E72" s="16"/>
    </row>
    <row r="73" spans="1:9" x14ac:dyDescent="0.2">
      <c r="D73" s="16"/>
      <c r="E73" s="16"/>
    </row>
    <row r="76" spans="1:9" x14ac:dyDescent="0.2">
      <c r="A76" s="55"/>
      <c r="B76" s="54"/>
      <c r="C76" s="54"/>
      <c r="D76" s="54"/>
    </row>
    <row r="77" spans="1:9" x14ac:dyDescent="0.2">
      <c r="A77" s="55"/>
      <c r="B77" s="54"/>
      <c r="C77" s="54"/>
      <c r="D77" s="54"/>
    </row>
    <row r="78" spans="1:9" x14ac:dyDescent="0.2">
      <c r="A78" s="55"/>
      <c r="B78" s="54"/>
      <c r="C78" s="54"/>
      <c r="D78" s="54"/>
    </row>
    <row r="79" spans="1:9" x14ac:dyDescent="0.2">
      <c r="A79" s="55"/>
      <c r="B79" s="54"/>
      <c r="C79" s="54"/>
      <c r="D79" s="54"/>
    </row>
    <row r="80" spans="1:9" x14ac:dyDescent="0.2">
      <c r="A80" s="55"/>
      <c r="B80" s="54"/>
      <c r="C80" s="54"/>
      <c r="D80" s="54"/>
    </row>
    <row r="81" spans="1:4" x14ac:dyDescent="0.2">
      <c r="A81" s="55"/>
      <c r="B81" s="54"/>
      <c r="C81" s="54"/>
      <c r="D81" s="54"/>
    </row>
    <row r="82" spans="1:4" x14ac:dyDescent="0.2">
      <c r="A82" s="55"/>
      <c r="B82" s="54"/>
      <c r="C82" s="54"/>
      <c r="D82" s="54"/>
    </row>
    <row r="83" spans="1:4" x14ac:dyDescent="0.2">
      <c r="A83" s="55"/>
      <c r="B83" s="54"/>
      <c r="C83" s="54"/>
      <c r="D83" s="54"/>
    </row>
    <row r="84" spans="1:4" x14ac:dyDescent="0.2">
      <c r="A84" s="55"/>
      <c r="B84" s="54"/>
      <c r="C84" s="54"/>
      <c r="D84" s="54"/>
    </row>
    <row r="85" spans="1:4" x14ac:dyDescent="0.2">
      <c r="A85" s="55"/>
      <c r="B85" s="54"/>
      <c r="C85" s="54"/>
      <c r="D85" s="54"/>
    </row>
    <row r="86" spans="1:4" x14ac:dyDescent="0.2">
      <c r="A86" s="55"/>
      <c r="B86" s="54"/>
      <c r="C86" s="54"/>
      <c r="D86" s="54"/>
    </row>
    <row r="87" spans="1:4" x14ac:dyDescent="0.2">
      <c r="A87" s="55"/>
      <c r="B87" s="54"/>
      <c r="C87" s="54"/>
      <c r="D87" s="54"/>
    </row>
    <row r="88" spans="1:4" x14ac:dyDescent="0.2">
      <c r="A88" s="55"/>
      <c r="B88" s="54"/>
      <c r="C88" s="54"/>
      <c r="D88" s="54"/>
    </row>
    <row r="89" spans="1:4" x14ac:dyDescent="0.2">
      <c r="A89" s="55"/>
      <c r="B89" s="54"/>
      <c r="C89" s="54"/>
      <c r="D89" s="54"/>
    </row>
    <row r="90" spans="1:4" x14ac:dyDescent="0.2">
      <c r="A90" s="55"/>
      <c r="B90" s="54"/>
      <c r="C90" s="54"/>
      <c r="D90" s="54"/>
    </row>
    <row r="91" spans="1:4" x14ac:dyDescent="0.2">
      <c r="A91" s="55"/>
      <c r="B91" s="54"/>
      <c r="C91" s="54"/>
      <c r="D91" s="54"/>
    </row>
    <row r="92" spans="1:4" x14ac:dyDescent="0.2">
      <c r="A92" s="55"/>
      <c r="B92" s="54"/>
      <c r="C92" s="54"/>
      <c r="D92" s="54"/>
    </row>
    <row r="93" spans="1:4" x14ac:dyDescent="0.2">
      <c r="A93" s="55"/>
      <c r="B93" s="54"/>
      <c r="C93" s="54"/>
      <c r="D93" s="54"/>
    </row>
  </sheetData>
  <mergeCells count="34">
    <mergeCell ref="A2:E2"/>
    <mergeCell ref="A16:A21"/>
    <mergeCell ref="B16:D16"/>
    <mergeCell ref="B17:D17"/>
    <mergeCell ref="B20:D20"/>
    <mergeCell ref="B21:D21"/>
    <mergeCell ref="B18:D18"/>
    <mergeCell ref="B19:D19"/>
    <mergeCell ref="B44:D44"/>
    <mergeCell ref="B22:D22"/>
    <mergeCell ref="A24:E24"/>
    <mergeCell ref="A28:A33"/>
    <mergeCell ref="B28:D28"/>
    <mergeCell ref="B29:D29"/>
    <mergeCell ref="B31:D31"/>
    <mergeCell ref="B32:D32"/>
    <mergeCell ref="B33:D33"/>
    <mergeCell ref="B30:D30"/>
    <mergeCell ref="A1:F1"/>
    <mergeCell ref="B56:D56"/>
    <mergeCell ref="A57:D57"/>
    <mergeCell ref="B45:D45"/>
    <mergeCell ref="A48:E48"/>
    <mergeCell ref="A52:A55"/>
    <mergeCell ref="B52:D52"/>
    <mergeCell ref="B53:D53"/>
    <mergeCell ref="B54:D54"/>
    <mergeCell ref="B55:D55"/>
    <mergeCell ref="B34:D34"/>
    <mergeCell ref="A36:E36"/>
    <mergeCell ref="A41:A44"/>
    <mergeCell ref="B41:D41"/>
    <mergeCell ref="B42:D42"/>
    <mergeCell ref="B43:D43"/>
  </mergeCells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2"/>
  <sheetViews>
    <sheetView topLeftCell="A40" workbookViewId="0">
      <selection activeCell="A13" sqref="A13:IV15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42" bestFit="1" customWidth="1"/>
    <col min="7" max="7" width="22.28515625" style="18" customWidth="1"/>
    <col min="8" max="8" width="13.85546875" style="18" customWidth="1"/>
    <col min="9" max="9" width="11.5703125" style="18" bestFit="1" customWidth="1"/>
    <col min="10" max="10" width="9.140625" style="18"/>
    <col min="11" max="16384" width="9.140625" style="1"/>
  </cols>
  <sheetData>
    <row r="1" spans="1:9" x14ac:dyDescent="0.2">
      <c r="A1" s="201" t="s">
        <v>89</v>
      </c>
      <c r="B1" s="201"/>
      <c r="C1" s="201"/>
      <c r="D1" s="201"/>
      <c r="E1" s="201"/>
      <c r="F1" s="201"/>
    </row>
    <row r="2" spans="1:9" ht="20.100000000000001" customHeight="1" x14ac:dyDescent="0.2">
      <c r="A2" s="205" t="s">
        <v>8</v>
      </c>
      <c r="B2" s="205"/>
      <c r="C2" s="205"/>
      <c r="D2" s="205"/>
      <c r="E2" s="205"/>
    </row>
    <row r="3" spans="1:9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9" ht="30" customHeight="1" x14ac:dyDescent="0.2">
      <c r="A4" s="57" t="s">
        <v>85</v>
      </c>
      <c r="B4" s="58"/>
      <c r="C4" s="58"/>
      <c r="D4" s="58"/>
      <c r="E4" s="58"/>
    </row>
    <row r="5" spans="1:9" ht="19.899999999999999" customHeight="1" x14ac:dyDescent="0.2">
      <c r="A5" s="59" t="s">
        <v>49</v>
      </c>
      <c r="B5" s="70" t="s">
        <v>17</v>
      </c>
      <c r="C5" s="75">
        <f>265+125</f>
        <v>390</v>
      </c>
      <c r="D5" s="61">
        <f>$C$68</f>
        <v>18.981481481481481</v>
      </c>
      <c r="E5" s="62">
        <f>C5*D5</f>
        <v>7402.7777777777774</v>
      </c>
      <c r="F5" s="76"/>
      <c r="G5" s="55"/>
      <c r="H5" s="55"/>
      <c r="I5" s="55"/>
    </row>
    <row r="6" spans="1:9" ht="19.899999999999999" customHeight="1" x14ac:dyDescent="0.2">
      <c r="A6" s="59" t="s">
        <v>50</v>
      </c>
      <c r="B6" s="70" t="s">
        <v>17</v>
      </c>
      <c r="C6" s="60">
        <v>185</v>
      </c>
      <c r="D6" s="61">
        <f>$C$69</f>
        <v>15.277777777777777</v>
      </c>
      <c r="E6" s="62">
        <f>C6*D6</f>
        <v>2826.3888888888887</v>
      </c>
      <c r="F6" s="72"/>
    </row>
    <row r="7" spans="1:9" ht="30" customHeight="1" x14ac:dyDescent="0.2">
      <c r="A7" s="57" t="s">
        <v>15</v>
      </c>
      <c r="B7" s="70"/>
      <c r="C7" s="60"/>
      <c r="D7" s="61"/>
      <c r="E7" s="62"/>
    </row>
    <row r="8" spans="1:9" ht="19.899999999999999" customHeight="1" x14ac:dyDescent="0.2">
      <c r="A8" s="59" t="s">
        <v>49</v>
      </c>
      <c r="B8" s="70" t="s">
        <v>17</v>
      </c>
      <c r="C8" s="60">
        <f>410+30</f>
        <v>440</v>
      </c>
      <c r="D8" s="61">
        <f>$C$68</f>
        <v>18.981481481481481</v>
      </c>
      <c r="E8" s="62">
        <f>C8*D8</f>
        <v>8351.8518518518522</v>
      </c>
    </row>
    <row r="9" spans="1:9" ht="19.899999999999999" customHeight="1" x14ac:dyDescent="0.2">
      <c r="A9" s="59" t="s">
        <v>50</v>
      </c>
      <c r="B9" s="70" t="s">
        <v>17</v>
      </c>
      <c r="C9" s="60">
        <v>315</v>
      </c>
      <c r="D9" s="61">
        <f>$C$69</f>
        <v>15.277777777777777</v>
      </c>
      <c r="E9" s="62">
        <f>C9*D9</f>
        <v>4812.5</v>
      </c>
      <c r="F9" s="72"/>
    </row>
    <row r="10" spans="1:9" ht="50.1" customHeight="1" x14ac:dyDescent="0.2">
      <c r="A10" s="57" t="s">
        <v>16</v>
      </c>
      <c r="B10" s="70"/>
      <c r="C10" s="60"/>
      <c r="D10" s="61"/>
      <c r="E10" s="62"/>
    </row>
    <row r="11" spans="1:9" ht="19.899999999999999" customHeight="1" x14ac:dyDescent="0.2">
      <c r="A11" s="59" t="s">
        <v>49</v>
      </c>
      <c r="B11" s="70" t="s">
        <v>17</v>
      </c>
      <c r="C11" s="60">
        <f>315-30</f>
        <v>285</v>
      </c>
      <c r="D11" s="61">
        <f>$C$68</f>
        <v>18.981481481481481</v>
      </c>
      <c r="E11" s="62">
        <f>C11*D11</f>
        <v>5409.7222222222217</v>
      </c>
    </row>
    <row r="12" spans="1:9" ht="19.899999999999999" customHeight="1" x14ac:dyDescent="0.2">
      <c r="A12" s="59" t="s">
        <v>50</v>
      </c>
      <c r="B12" s="70" t="s">
        <v>17</v>
      </c>
      <c r="C12" s="60">
        <v>295</v>
      </c>
      <c r="D12" s="61">
        <f>$C$69</f>
        <v>15.277777777777777</v>
      </c>
      <c r="E12" s="62">
        <f>C12*D12</f>
        <v>4506.9444444444443</v>
      </c>
      <c r="F12" s="72"/>
    </row>
    <row r="13" spans="1:9" ht="50.1" customHeight="1" x14ac:dyDescent="0.2">
      <c r="A13" s="57" t="s">
        <v>40</v>
      </c>
      <c r="B13" s="83"/>
      <c r="C13" s="60"/>
      <c r="D13" s="61"/>
      <c r="E13" s="62"/>
      <c r="F13" s="55"/>
    </row>
    <row r="14" spans="1:9" ht="19.899999999999999" customHeight="1" x14ac:dyDescent="0.2">
      <c r="A14" s="59" t="s">
        <v>49</v>
      </c>
      <c r="B14" s="83" t="s">
        <v>17</v>
      </c>
      <c r="C14" s="60">
        <v>205</v>
      </c>
      <c r="D14" s="61">
        <f>$C$68</f>
        <v>18.981481481481481</v>
      </c>
      <c r="E14" s="62">
        <f>C14*D14</f>
        <v>3891.2037037037035</v>
      </c>
      <c r="F14" s="55"/>
    </row>
    <row r="15" spans="1:9" ht="19.899999999999999" customHeight="1" x14ac:dyDescent="0.2">
      <c r="A15" s="59" t="s">
        <v>50</v>
      </c>
      <c r="B15" s="83" t="s">
        <v>17</v>
      </c>
      <c r="C15" s="60">
        <v>125</v>
      </c>
      <c r="D15" s="61">
        <f>$C$69</f>
        <v>15.277777777777777</v>
      </c>
      <c r="E15" s="62">
        <f>C15*D15</f>
        <v>1909.7222222222222</v>
      </c>
      <c r="F15" s="72"/>
    </row>
    <row r="16" spans="1:9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39111.111111111102</v>
      </c>
      <c r="F16" s="55"/>
      <c r="H16" s="91"/>
    </row>
    <row r="17" spans="1:10" ht="24.95" customHeight="1" x14ac:dyDescent="0.2">
      <c r="A17" s="206"/>
      <c r="B17" s="207" t="s">
        <v>87</v>
      </c>
      <c r="C17" s="207"/>
      <c r="D17" s="207"/>
      <c r="E17" s="62">
        <f>H19*H22</f>
        <v>13571.516158356133</v>
      </c>
      <c r="F17" s="87"/>
      <c r="G17" s="55"/>
      <c r="H17" s="55"/>
      <c r="I17" s="55"/>
      <c r="J17" s="55"/>
    </row>
    <row r="18" spans="1:10" ht="24.95" customHeight="1" x14ac:dyDescent="0.2">
      <c r="A18" s="206"/>
      <c r="B18" s="207" t="s">
        <v>83</v>
      </c>
      <c r="C18" s="207"/>
      <c r="D18" s="207"/>
      <c r="E18" s="62">
        <v>800</v>
      </c>
      <c r="G18" s="73"/>
    </row>
    <row r="19" spans="1:10" ht="24.95" customHeight="1" x14ac:dyDescent="0.2">
      <c r="A19" s="206"/>
      <c r="B19" s="207" t="s">
        <v>57</v>
      </c>
      <c r="C19" s="207"/>
      <c r="D19" s="207"/>
      <c r="E19" s="62">
        <v>600</v>
      </c>
      <c r="F19" s="55"/>
      <c r="G19" s="92" t="s">
        <v>94</v>
      </c>
      <c r="H19" s="93">
        <v>17262.236000000001</v>
      </c>
    </row>
    <row r="20" spans="1:10" ht="24.95" customHeight="1" x14ac:dyDescent="0.2">
      <c r="A20" s="206"/>
      <c r="B20" s="207" t="s">
        <v>20</v>
      </c>
      <c r="C20" s="207"/>
      <c r="D20" s="207"/>
      <c r="E20" s="62">
        <f>SUM(E16:E17)+E18+E19</f>
        <v>54082.627269467237</v>
      </c>
      <c r="F20" s="55"/>
      <c r="G20" s="92" t="s">
        <v>18</v>
      </c>
      <c r="H20" s="93">
        <f>E16</f>
        <v>39111.111111111102</v>
      </c>
    </row>
    <row r="21" spans="1:10" ht="24.95" customHeight="1" x14ac:dyDescent="0.2">
      <c r="A21" s="206"/>
      <c r="B21" s="207" t="s">
        <v>21</v>
      </c>
      <c r="C21" s="207"/>
      <c r="D21" s="207"/>
      <c r="E21" s="62">
        <f>E20*0.2</f>
        <v>10816.525453893448</v>
      </c>
      <c r="F21" s="72"/>
      <c r="G21" s="92" t="s">
        <v>91</v>
      </c>
      <c r="H21" s="93">
        <f>E16+E41+E52</f>
        <v>49747.222222222219</v>
      </c>
    </row>
    <row r="22" spans="1:10" ht="24.95" customHeight="1" x14ac:dyDescent="0.2">
      <c r="A22" s="64" t="s">
        <v>22</v>
      </c>
      <c r="B22" s="202"/>
      <c r="C22" s="202"/>
      <c r="D22" s="202"/>
      <c r="E22" s="65">
        <f>SUM(E20:E21)</f>
        <v>64899.152723360683</v>
      </c>
      <c r="F22" s="55"/>
      <c r="G22" s="92" t="s">
        <v>92</v>
      </c>
      <c r="H22" s="94">
        <f>H20/H21</f>
        <v>0.78619688424814327</v>
      </c>
    </row>
    <row r="23" spans="1:10" ht="27.75" customHeight="1" x14ac:dyDescent="0.2">
      <c r="A23" s="8"/>
      <c r="B23" s="9"/>
      <c r="C23" s="89"/>
      <c r="D23" s="90"/>
      <c r="E23" s="9"/>
    </row>
    <row r="24" spans="1:10" ht="28.15" customHeight="1" x14ac:dyDescent="0.2">
      <c r="A24" s="205" t="s">
        <v>84</v>
      </c>
      <c r="B24" s="205"/>
      <c r="C24" s="205"/>
      <c r="D24" s="205"/>
      <c r="E24" s="205"/>
    </row>
    <row r="25" spans="1:10" ht="24.95" customHeight="1" x14ac:dyDescent="0.2">
      <c r="A25" s="70" t="s">
        <v>9</v>
      </c>
      <c r="B25" s="70" t="s">
        <v>10</v>
      </c>
      <c r="C25" s="70" t="s">
        <v>11</v>
      </c>
      <c r="D25" s="70" t="s">
        <v>12</v>
      </c>
      <c r="E25" s="70" t="s">
        <v>13</v>
      </c>
    </row>
    <row r="26" spans="1:10" ht="24.95" customHeight="1" x14ac:dyDescent="0.2">
      <c r="A26" s="71" t="s">
        <v>49</v>
      </c>
      <c r="B26" s="70" t="s">
        <v>17</v>
      </c>
      <c r="C26" s="60">
        <v>260</v>
      </c>
      <c r="D26" s="61">
        <f>C68</f>
        <v>18.981481481481481</v>
      </c>
      <c r="E26" s="62">
        <f>C26*D26</f>
        <v>4935.1851851851852</v>
      </c>
      <c r="F26" s="76"/>
      <c r="G26" s="55"/>
      <c r="H26" s="55"/>
      <c r="I26" s="55"/>
      <c r="J26" s="55"/>
    </row>
    <row r="27" spans="1:10" ht="24.95" customHeight="1" x14ac:dyDescent="0.2">
      <c r="A27" s="71" t="s">
        <v>50</v>
      </c>
      <c r="B27" s="70" t="s">
        <v>17</v>
      </c>
      <c r="C27" s="60">
        <v>280</v>
      </c>
      <c r="D27" s="61">
        <f>C69</f>
        <v>15.277777777777777</v>
      </c>
      <c r="E27" s="62">
        <f>C27*D27</f>
        <v>4277.7777777777774</v>
      </c>
      <c r="F27" s="76"/>
      <c r="G27" s="55"/>
      <c r="H27" s="55"/>
      <c r="I27" s="55"/>
      <c r="J27" s="55"/>
    </row>
    <row r="28" spans="1:10" ht="24.95" customHeight="1" x14ac:dyDescent="0.2">
      <c r="A28" s="206" t="s">
        <v>86</v>
      </c>
      <c r="B28" s="207" t="s">
        <v>54</v>
      </c>
      <c r="C28" s="207"/>
      <c r="D28" s="207"/>
      <c r="E28" s="62">
        <f>E26+E27</f>
        <v>9212.9629629629635</v>
      </c>
      <c r="F28" s="72"/>
      <c r="G28" s="55"/>
      <c r="H28" s="55"/>
    </row>
    <row r="29" spans="1:10" ht="24.95" customHeight="1" x14ac:dyDescent="0.2">
      <c r="A29" s="206"/>
      <c r="B29" s="207" t="s">
        <v>87</v>
      </c>
      <c r="C29" s="207"/>
      <c r="D29" s="207"/>
      <c r="E29" s="62">
        <f>8470</f>
        <v>8470</v>
      </c>
      <c r="F29" s="76"/>
      <c r="G29" s="55"/>
      <c r="H29" s="55"/>
      <c r="I29" s="55"/>
      <c r="J29" s="55"/>
    </row>
    <row r="30" spans="1:10" ht="24.95" customHeight="1" x14ac:dyDescent="0.2">
      <c r="A30" s="206"/>
      <c r="B30" s="207" t="s">
        <v>83</v>
      </c>
      <c r="C30" s="207"/>
      <c r="D30" s="207"/>
      <c r="E30" s="62">
        <v>300</v>
      </c>
      <c r="F30" s="69"/>
    </row>
    <row r="31" spans="1:10" ht="24.95" customHeight="1" x14ac:dyDescent="0.2">
      <c r="A31" s="206"/>
      <c r="B31" s="207" t="s">
        <v>57</v>
      </c>
      <c r="C31" s="207"/>
      <c r="D31" s="207"/>
      <c r="E31" s="62">
        <v>100</v>
      </c>
      <c r="F31" s="72"/>
    </row>
    <row r="32" spans="1:10" ht="24.95" customHeight="1" x14ac:dyDescent="0.2">
      <c r="A32" s="206"/>
      <c r="B32" s="207" t="s">
        <v>20</v>
      </c>
      <c r="C32" s="207"/>
      <c r="D32" s="207"/>
      <c r="E32" s="62">
        <f>SUM(E28:E31)</f>
        <v>18082.962962962964</v>
      </c>
    </row>
    <row r="33" spans="1:10" ht="24.95" customHeight="1" x14ac:dyDescent="0.2">
      <c r="A33" s="206"/>
      <c r="B33" s="207" t="s">
        <v>21</v>
      </c>
      <c r="C33" s="207"/>
      <c r="D33" s="207"/>
      <c r="E33" s="62">
        <f>E32*0.2</f>
        <v>3616.5925925925931</v>
      </c>
    </row>
    <row r="34" spans="1:10" ht="24.95" customHeight="1" x14ac:dyDescent="0.2">
      <c r="A34" s="64" t="s">
        <v>26</v>
      </c>
      <c r="B34" s="202"/>
      <c r="C34" s="202"/>
      <c r="D34" s="202"/>
      <c r="E34" s="65">
        <f>SUM(E32:E33)</f>
        <v>21699.555555555555</v>
      </c>
    </row>
    <row r="35" spans="1:10" ht="24.95" customHeight="1" x14ac:dyDescent="0.2">
      <c r="A35" s="33"/>
      <c r="B35" s="34"/>
      <c r="C35" s="34"/>
      <c r="D35" s="85"/>
      <c r="E35" s="35"/>
    </row>
    <row r="36" spans="1:10" ht="24" customHeight="1" x14ac:dyDescent="0.2">
      <c r="A36" s="205" t="s">
        <v>82</v>
      </c>
      <c r="B36" s="205"/>
      <c r="C36" s="205"/>
      <c r="D36" s="205"/>
      <c r="E36" s="205"/>
    </row>
    <row r="37" spans="1:10" ht="24.95" customHeight="1" x14ac:dyDescent="0.2">
      <c r="A37" s="70" t="s">
        <v>9</v>
      </c>
      <c r="B37" s="70" t="s">
        <v>10</v>
      </c>
      <c r="C37" s="70" t="s">
        <v>11</v>
      </c>
      <c r="D37" s="70" t="s">
        <v>12</v>
      </c>
      <c r="E37" s="70" t="s">
        <v>13</v>
      </c>
    </row>
    <row r="38" spans="1:10" ht="24.95" customHeight="1" x14ac:dyDescent="0.2">
      <c r="A38" s="71" t="s">
        <v>23</v>
      </c>
      <c r="B38" s="70" t="s">
        <v>17</v>
      </c>
      <c r="C38" s="60">
        <v>252</v>
      </c>
      <c r="D38" s="61">
        <f>C71</f>
        <v>8.7962962962962958</v>
      </c>
      <c r="E38" s="62">
        <f>C38*D38</f>
        <v>2216.6666666666665</v>
      </c>
    </row>
    <row r="39" spans="1:10" ht="24.95" customHeight="1" x14ac:dyDescent="0.2">
      <c r="A39" s="71" t="s">
        <v>24</v>
      </c>
      <c r="B39" s="70" t="s">
        <v>17</v>
      </c>
      <c r="C39" s="60">
        <v>30</v>
      </c>
      <c r="D39" s="61">
        <f>C68</f>
        <v>18.981481481481481</v>
      </c>
      <c r="E39" s="62">
        <f>C39*D39</f>
        <v>569.44444444444446</v>
      </c>
      <c r="F39" s="72"/>
    </row>
    <row r="40" spans="1:10" ht="24.95" customHeight="1" x14ac:dyDescent="0.2">
      <c r="A40" s="71" t="s">
        <v>25</v>
      </c>
      <c r="B40" s="70"/>
      <c r="C40" s="68"/>
      <c r="D40" s="68"/>
      <c r="E40" s="62">
        <f>SUM(E38:E39)</f>
        <v>2786.1111111111109</v>
      </c>
    </row>
    <row r="41" spans="1:10" ht="24.95" customHeight="1" x14ac:dyDescent="0.2">
      <c r="A41" s="206" t="s">
        <v>86</v>
      </c>
      <c r="B41" s="207" t="s">
        <v>79</v>
      </c>
      <c r="C41" s="207"/>
      <c r="D41" s="207"/>
      <c r="E41" s="62">
        <f>3*(E38+E39)</f>
        <v>8358.3333333333321</v>
      </c>
      <c r="F41" s="88"/>
    </row>
    <row r="42" spans="1:10" ht="24.95" customHeight="1" x14ac:dyDescent="0.2">
      <c r="A42" s="206"/>
      <c r="B42" s="207" t="s">
        <v>87</v>
      </c>
      <c r="C42" s="207"/>
      <c r="D42" s="207"/>
      <c r="E42" s="62">
        <f>H42*H45</f>
        <v>2900.333247194148</v>
      </c>
      <c r="F42" s="76"/>
      <c r="G42" s="92" t="s">
        <v>93</v>
      </c>
      <c r="H42" s="93">
        <v>17262.236000000001</v>
      </c>
      <c r="I42" s="55"/>
      <c r="J42" s="55"/>
    </row>
    <row r="43" spans="1:10" ht="24.95" customHeight="1" x14ac:dyDescent="0.2">
      <c r="A43" s="206"/>
      <c r="B43" s="207" t="s">
        <v>20</v>
      </c>
      <c r="C43" s="207"/>
      <c r="D43" s="207"/>
      <c r="E43" s="62">
        <f>SUM(E41:E42)</f>
        <v>11258.666580527481</v>
      </c>
      <c r="G43" s="92" t="s">
        <v>18</v>
      </c>
      <c r="H43" s="93">
        <f>E41</f>
        <v>8358.3333333333321</v>
      </c>
    </row>
    <row r="44" spans="1:10" ht="24.95" customHeight="1" x14ac:dyDescent="0.2">
      <c r="A44" s="206"/>
      <c r="B44" s="207" t="s">
        <v>21</v>
      </c>
      <c r="C44" s="207"/>
      <c r="D44" s="207"/>
      <c r="E44" s="62">
        <f>E43*0.2</f>
        <v>2251.7333161054962</v>
      </c>
      <c r="G44" s="92" t="s">
        <v>91</v>
      </c>
      <c r="H44" s="93">
        <f>H21</f>
        <v>49747.222222222219</v>
      </c>
    </row>
    <row r="45" spans="1:10" ht="24.95" customHeight="1" x14ac:dyDescent="0.2">
      <c r="A45" s="64" t="s">
        <v>39</v>
      </c>
      <c r="B45" s="202"/>
      <c r="C45" s="202"/>
      <c r="D45" s="202"/>
      <c r="E45" s="65">
        <f>SUM(E43:E44)</f>
        <v>13510.399896632976</v>
      </c>
      <c r="G45" s="92" t="s">
        <v>92</v>
      </c>
      <c r="H45" s="94">
        <f>H43/H44</f>
        <v>0.16801608129990506</v>
      </c>
    </row>
    <row r="46" spans="1:10" ht="24.95" customHeight="1" x14ac:dyDescent="0.2">
      <c r="A46" s="80"/>
      <c r="B46" s="81"/>
      <c r="C46" s="81"/>
      <c r="D46" s="84"/>
      <c r="E46" s="82"/>
    </row>
    <row r="47" spans="1:10" ht="33.75" customHeight="1" x14ac:dyDescent="0.2">
      <c r="A47" s="205" t="s">
        <v>68</v>
      </c>
      <c r="B47" s="205"/>
      <c r="C47" s="205"/>
      <c r="D47" s="205"/>
      <c r="E47" s="205"/>
    </row>
    <row r="48" spans="1:10" ht="24.95" customHeight="1" x14ac:dyDescent="0.2">
      <c r="A48" s="70" t="s">
        <v>9</v>
      </c>
      <c r="B48" s="70" t="s">
        <v>10</v>
      </c>
      <c r="C48" s="70" t="s">
        <v>11</v>
      </c>
      <c r="D48" s="70" t="s">
        <v>12</v>
      </c>
      <c r="E48" s="70" t="s">
        <v>13</v>
      </c>
    </row>
    <row r="49" spans="1:10" ht="66.75" customHeight="1" x14ac:dyDescent="0.2">
      <c r="A49" s="57" t="s">
        <v>67</v>
      </c>
      <c r="B49" s="70"/>
      <c r="C49" s="60"/>
      <c r="D49" s="61"/>
      <c r="E49" s="62"/>
    </row>
    <row r="50" spans="1:10" ht="19.899999999999999" customHeight="1" x14ac:dyDescent="0.2">
      <c r="A50" s="59" t="s">
        <v>49</v>
      </c>
      <c r="B50" s="70" t="s">
        <v>17</v>
      </c>
      <c r="C50" s="60">
        <v>120</v>
      </c>
      <c r="D50" s="61">
        <f>$C$68</f>
        <v>18.981481481481481</v>
      </c>
      <c r="E50" s="62">
        <f>C50*D50</f>
        <v>2277.7777777777778</v>
      </c>
      <c r="F50" s="88"/>
      <c r="G50" s="55"/>
      <c r="H50" s="55"/>
      <c r="I50" s="55"/>
      <c r="J50" s="55"/>
    </row>
    <row r="51" spans="1:10" ht="21.75" customHeight="1" x14ac:dyDescent="0.2">
      <c r="A51" s="59" t="s">
        <v>50</v>
      </c>
      <c r="B51" s="70" t="s">
        <v>17</v>
      </c>
      <c r="C51" s="60"/>
      <c r="D51" s="61">
        <f>$C$69</f>
        <v>15.277777777777777</v>
      </c>
      <c r="E51" s="62">
        <f>C51*D51</f>
        <v>0</v>
      </c>
      <c r="F51" s="72"/>
    </row>
    <row r="52" spans="1:10" ht="24.95" customHeight="1" x14ac:dyDescent="0.2">
      <c r="A52" s="206" t="s">
        <v>86</v>
      </c>
      <c r="B52" s="207" t="s">
        <v>18</v>
      </c>
      <c r="C52" s="207"/>
      <c r="D52" s="207"/>
      <c r="E52" s="62">
        <f>SUM(E50:E51)</f>
        <v>2277.7777777777778</v>
      </c>
      <c r="F52" s="87"/>
    </row>
    <row r="53" spans="1:10" ht="24.95" customHeight="1" x14ac:dyDescent="0.2">
      <c r="A53" s="206"/>
      <c r="B53" s="207" t="s">
        <v>87</v>
      </c>
      <c r="C53" s="207"/>
      <c r="D53" s="207"/>
      <c r="E53" s="62">
        <f>H54*H57</f>
        <v>790.38659444971813</v>
      </c>
      <c r="F53" s="87"/>
      <c r="G53" s="55"/>
      <c r="H53" s="55"/>
      <c r="I53" s="55"/>
      <c r="J53" s="55"/>
    </row>
    <row r="54" spans="1:10" ht="24.95" customHeight="1" x14ac:dyDescent="0.2">
      <c r="A54" s="206"/>
      <c r="B54" s="207" t="s">
        <v>20</v>
      </c>
      <c r="C54" s="207"/>
      <c r="D54" s="207"/>
      <c r="E54" s="62">
        <f>SUM(E52:E53)</f>
        <v>3068.1643722274957</v>
      </c>
      <c r="G54" s="92" t="s">
        <v>93</v>
      </c>
      <c r="H54" s="93">
        <v>17262.236000000001</v>
      </c>
    </row>
    <row r="55" spans="1:10" ht="24.95" customHeight="1" x14ac:dyDescent="0.2">
      <c r="A55" s="206"/>
      <c r="B55" s="207" t="s">
        <v>21</v>
      </c>
      <c r="C55" s="207"/>
      <c r="D55" s="207"/>
      <c r="E55" s="62">
        <f>E54*0.2</f>
        <v>613.63287444549917</v>
      </c>
      <c r="G55" s="92" t="s">
        <v>18</v>
      </c>
      <c r="H55" s="93">
        <f>E52</f>
        <v>2277.7777777777778</v>
      </c>
    </row>
    <row r="56" spans="1:10" ht="24.95" customHeight="1" x14ac:dyDescent="0.2">
      <c r="A56" s="64" t="s">
        <v>59</v>
      </c>
      <c r="B56" s="202"/>
      <c r="C56" s="202"/>
      <c r="D56" s="202"/>
      <c r="E56" s="65">
        <f>SUM(E54:E55)</f>
        <v>3681.7972466729948</v>
      </c>
      <c r="G56" s="92" t="s">
        <v>91</v>
      </c>
      <c r="H56" s="93">
        <f>H44</f>
        <v>49747.222222222219</v>
      </c>
      <c r="I56" s="91"/>
    </row>
    <row r="57" spans="1:10" ht="24.95" customHeight="1" thickBot="1" x14ac:dyDescent="0.25">
      <c r="A57" s="203" t="s">
        <v>63</v>
      </c>
      <c r="B57" s="204"/>
      <c r="C57" s="204"/>
      <c r="D57" s="204"/>
      <c r="E57" s="26">
        <f>E22+E45+E56+E34</f>
        <v>103790.90542222222</v>
      </c>
      <c r="F57" s="69"/>
      <c r="G57" s="92" t="s">
        <v>92</v>
      </c>
      <c r="H57" s="94">
        <f>H55/H56</f>
        <v>4.5787034451951536E-2</v>
      </c>
    </row>
    <row r="58" spans="1:10" x14ac:dyDescent="0.2">
      <c r="A58" s="12"/>
      <c r="D58" s="86"/>
      <c r="E58" s="30"/>
    </row>
    <row r="59" spans="1:10" x14ac:dyDescent="0.2">
      <c r="A59" s="12"/>
    </row>
    <row r="60" spans="1:10" x14ac:dyDescent="0.2">
      <c r="A60" s="12"/>
    </row>
    <row r="61" spans="1:10" x14ac:dyDescent="0.2">
      <c r="A61" s="12"/>
      <c r="E61" s="31"/>
    </row>
    <row r="62" spans="1:10" x14ac:dyDescent="0.2">
      <c r="A62" s="12"/>
    </row>
    <row r="63" spans="1:10" x14ac:dyDescent="0.2">
      <c r="A63" s="12"/>
    </row>
    <row r="64" spans="1:10" x14ac:dyDescent="0.2">
      <c r="A64" s="12"/>
    </row>
    <row r="65" spans="1:5" x14ac:dyDescent="0.2">
      <c r="A65" s="12"/>
    </row>
    <row r="66" spans="1:5" ht="13.5" thickBot="1" x14ac:dyDescent="0.25">
      <c r="A66" s="12"/>
      <c r="B66" s="54"/>
      <c r="D66" s="43"/>
    </row>
    <row r="67" spans="1:5" ht="64.5" customHeight="1" thickBot="1" x14ac:dyDescent="0.25">
      <c r="A67" s="2" t="s">
        <v>0</v>
      </c>
      <c r="B67" s="2" t="s">
        <v>1</v>
      </c>
      <c r="C67" s="3" t="s">
        <v>2</v>
      </c>
      <c r="D67" s="44" t="s">
        <v>77</v>
      </c>
      <c r="E67" s="16"/>
    </row>
    <row r="68" spans="1:5" ht="14.25" customHeight="1" thickBot="1" x14ac:dyDescent="0.25">
      <c r="A68" s="21" t="s">
        <v>49</v>
      </c>
      <c r="B68" s="25">
        <v>410</v>
      </c>
      <c r="C68" s="6">
        <f>B68/21.6</f>
        <v>18.981481481481481</v>
      </c>
      <c r="D68" s="45">
        <v>320</v>
      </c>
      <c r="E68" s="14"/>
    </row>
    <row r="69" spans="1:5" ht="13.5" thickBot="1" x14ac:dyDescent="0.25">
      <c r="A69" s="21" t="s">
        <v>50</v>
      </c>
      <c r="B69" s="25">
        <v>330</v>
      </c>
      <c r="C69" s="6">
        <f>B69/21.6</f>
        <v>15.277777777777777</v>
      </c>
      <c r="D69" s="45">
        <v>290</v>
      </c>
      <c r="E69" s="14"/>
    </row>
    <row r="70" spans="1:5" ht="13.5" thickBot="1" x14ac:dyDescent="0.25">
      <c r="A70" s="21" t="s">
        <v>51</v>
      </c>
      <c r="B70" s="25">
        <v>260</v>
      </c>
      <c r="C70" s="6">
        <f>B70/21.6</f>
        <v>12.037037037037036</v>
      </c>
      <c r="D70" s="45">
        <v>240</v>
      </c>
      <c r="E70" s="14"/>
    </row>
    <row r="71" spans="1:5" ht="13.5" thickBot="1" x14ac:dyDescent="0.25">
      <c r="A71" s="21" t="s">
        <v>52</v>
      </c>
      <c r="B71" s="25">
        <v>190</v>
      </c>
      <c r="C71" s="6">
        <f>B71/21.6</f>
        <v>8.7962962962962958</v>
      </c>
      <c r="D71" s="45">
        <v>170</v>
      </c>
      <c r="E71" s="14"/>
    </row>
    <row r="72" spans="1:5" x14ac:dyDescent="0.2">
      <c r="A72" s="39"/>
      <c r="B72" s="16"/>
      <c r="C72" s="16"/>
      <c r="D72" s="44"/>
      <c r="E72" s="16"/>
    </row>
    <row r="75" spans="1:5" x14ac:dyDescent="0.2">
      <c r="A75" s="55"/>
      <c r="B75" s="54"/>
      <c r="C75" s="54"/>
      <c r="D75" s="54"/>
    </row>
    <row r="76" spans="1:5" x14ac:dyDescent="0.2">
      <c r="A76" s="55"/>
      <c r="B76" s="54"/>
      <c r="C76" s="54"/>
      <c r="D76" s="54"/>
    </row>
    <row r="77" spans="1:5" x14ac:dyDescent="0.2">
      <c r="A77" s="55"/>
      <c r="B77" s="54"/>
      <c r="C77" s="54"/>
      <c r="D77" s="54"/>
    </row>
    <row r="78" spans="1:5" x14ac:dyDescent="0.2">
      <c r="A78" s="55"/>
      <c r="B78" s="54"/>
      <c r="C78" s="54"/>
      <c r="D78" s="54"/>
    </row>
    <row r="79" spans="1:5" x14ac:dyDescent="0.2">
      <c r="A79" s="55"/>
      <c r="B79" s="54"/>
      <c r="C79" s="54"/>
      <c r="D79" s="54"/>
    </row>
    <row r="80" spans="1:5" x14ac:dyDescent="0.2">
      <c r="A80" s="55"/>
      <c r="B80" s="54"/>
      <c r="C80" s="54"/>
      <c r="D80" s="54"/>
    </row>
    <row r="81" spans="1:4" x14ac:dyDescent="0.2">
      <c r="A81" s="55"/>
      <c r="B81" s="54"/>
      <c r="C81" s="54"/>
      <c r="D81" s="54"/>
    </row>
    <row r="82" spans="1:4" x14ac:dyDescent="0.2">
      <c r="A82" s="55"/>
      <c r="B82" s="54"/>
      <c r="C82" s="54"/>
      <c r="D82" s="54"/>
    </row>
    <row r="83" spans="1:4" x14ac:dyDescent="0.2">
      <c r="A83" s="55"/>
      <c r="B83" s="54"/>
      <c r="C83" s="54"/>
      <c r="D83" s="54"/>
    </row>
    <row r="84" spans="1:4" x14ac:dyDescent="0.2">
      <c r="A84" s="55"/>
      <c r="B84" s="54"/>
      <c r="C84" s="54"/>
      <c r="D84" s="54"/>
    </row>
    <row r="85" spans="1:4" x14ac:dyDescent="0.2">
      <c r="A85" s="55"/>
      <c r="B85" s="54"/>
      <c r="C85" s="54"/>
      <c r="D85" s="54"/>
    </row>
    <row r="86" spans="1:4" x14ac:dyDescent="0.2">
      <c r="A86" s="55"/>
      <c r="B86" s="54"/>
      <c r="C86" s="54"/>
      <c r="D86" s="54"/>
    </row>
    <row r="87" spans="1:4" x14ac:dyDescent="0.2">
      <c r="A87" s="55"/>
      <c r="B87" s="54"/>
      <c r="C87" s="54"/>
      <c r="D87" s="54"/>
    </row>
    <row r="88" spans="1:4" x14ac:dyDescent="0.2">
      <c r="A88" s="55"/>
      <c r="B88" s="54"/>
      <c r="C88" s="54"/>
      <c r="D88" s="54"/>
    </row>
    <row r="89" spans="1:4" x14ac:dyDescent="0.2">
      <c r="A89" s="55"/>
      <c r="B89" s="54"/>
      <c r="C89" s="54"/>
      <c r="D89" s="54"/>
    </row>
    <row r="90" spans="1:4" x14ac:dyDescent="0.2">
      <c r="A90" s="55"/>
      <c r="B90" s="54"/>
      <c r="C90" s="54"/>
      <c r="D90" s="54"/>
    </row>
    <row r="91" spans="1:4" x14ac:dyDescent="0.2">
      <c r="A91" s="55"/>
      <c r="B91" s="54"/>
      <c r="C91" s="54"/>
      <c r="D91" s="54"/>
    </row>
    <row r="92" spans="1:4" x14ac:dyDescent="0.2">
      <c r="A92" s="55"/>
      <c r="B92" s="54"/>
      <c r="C92" s="54"/>
      <c r="D92" s="54"/>
    </row>
  </sheetData>
  <mergeCells count="34">
    <mergeCell ref="A2:E2"/>
    <mergeCell ref="A16:A21"/>
    <mergeCell ref="B16:D16"/>
    <mergeCell ref="B17:D17"/>
    <mergeCell ref="B18:D18"/>
    <mergeCell ref="B19:D19"/>
    <mergeCell ref="B20:D20"/>
    <mergeCell ref="B21:D21"/>
    <mergeCell ref="B44:D44"/>
    <mergeCell ref="B22:D22"/>
    <mergeCell ref="A24:E24"/>
    <mergeCell ref="A28:A33"/>
    <mergeCell ref="B28:D28"/>
    <mergeCell ref="B29:D29"/>
    <mergeCell ref="B30:D30"/>
    <mergeCell ref="B31:D31"/>
    <mergeCell ref="B32:D32"/>
    <mergeCell ref="B33:D33"/>
    <mergeCell ref="A1:F1"/>
    <mergeCell ref="B56:D56"/>
    <mergeCell ref="A57:D57"/>
    <mergeCell ref="B45:D45"/>
    <mergeCell ref="A47:E47"/>
    <mergeCell ref="A52:A55"/>
    <mergeCell ref="B52:D52"/>
    <mergeCell ref="B53:D53"/>
    <mergeCell ref="B54:D54"/>
    <mergeCell ref="B55:D55"/>
    <mergeCell ref="B34:D34"/>
    <mergeCell ref="A36:E36"/>
    <mergeCell ref="A41:A44"/>
    <mergeCell ref="B41:D41"/>
    <mergeCell ref="B42:D42"/>
    <mergeCell ref="B43:D43"/>
  </mergeCells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0"/>
  <sheetViews>
    <sheetView topLeftCell="A46" workbookViewId="0">
      <selection activeCell="D70" sqref="D70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55" bestFit="1" customWidth="1"/>
    <col min="7" max="7" width="22.7109375" style="105" customWidth="1"/>
    <col min="8" max="8" width="13.85546875" style="105" customWidth="1"/>
    <col min="9" max="10" width="9.140625" style="18"/>
    <col min="11" max="16384" width="9.140625" style="1"/>
  </cols>
  <sheetData>
    <row r="1" spans="1:10" x14ac:dyDescent="0.2">
      <c r="A1" s="201" t="s">
        <v>90</v>
      </c>
      <c r="B1" s="201"/>
      <c r="C1" s="201"/>
      <c r="D1" s="201"/>
      <c r="E1" s="201"/>
      <c r="F1" s="201"/>
    </row>
    <row r="2" spans="1:10" ht="20.100000000000001" customHeight="1" x14ac:dyDescent="0.2">
      <c r="A2" s="205" t="s">
        <v>8</v>
      </c>
      <c r="B2" s="205"/>
      <c r="C2" s="205"/>
      <c r="D2" s="205"/>
      <c r="E2" s="205"/>
    </row>
    <row r="3" spans="1:10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10" ht="30" customHeight="1" x14ac:dyDescent="0.2">
      <c r="A4" s="57" t="s">
        <v>85</v>
      </c>
      <c r="B4" s="58"/>
      <c r="C4" s="58"/>
      <c r="D4" s="58"/>
      <c r="E4" s="58"/>
    </row>
    <row r="5" spans="1:10" ht="19.899999999999999" customHeight="1" x14ac:dyDescent="0.2">
      <c r="A5" s="59" t="s">
        <v>49</v>
      </c>
      <c r="B5" s="70" t="s">
        <v>17</v>
      </c>
      <c r="C5" s="60">
        <v>390</v>
      </c>
      <c r="D5" s="61">
        <f>$C$66</f>
        <v>19.444444444444443</v>
      </c>
      <c r="E5" s="62">
        <f>C5*D5</f>
        <v>7583.333333333333</v>
      </c>
      <c r="F5" s="76"/>
      <c r="G5" s="105">
        <f>C5-'2021_new'!C5</f>
        <v>0</v>
      </c>
      <c r="I5" s="55"/>
      <c r="J5" s="55"/>
    </row>
    <row r="6" spans="1:10" ht="19.899999999999999" customHeight="1" x14ac:dyDescent="0.2">
      <c r="A6" s="59" t="s">
        <v>50</v>
      </c>
      <c r="B6" s="70" t="s">
        <v>17</v>
      </c>
      <c r="C6" s="60">
        <v>185</v>
      </c>
      <c r="D6" s="61">
        <f>$C$67</f>
        <v>15.74074074074074</v>
      </c>
      <c r="E6" s="62">
        <f>C6*D6</f>
        <v>2912.037037037037</v>
      </c>
      <c r="F6" s="72"/>
    </row>
    <row r="7" spans="1:10" ht="30" customHeight="1" x14ac:dyDescent="0.2">
      <c r="A7" s="57" t="s">
        <v>15</v>
      </c>
      <c r="B7" s="70"/>
      <c r="C7" s="60"/>
      <c r="D7" s="61"/>
      <c r="E7" s="62"/>
    </row>
    <row r="8" spans="1:10" ht="19.899999999999999" customHeight="1" x14ac:dyDescent="0.2">
      <c r="A8" s="59" t="s">
        <v>49</v>
      </c>
      <c r="B8" s="70" t="s">
        <v>17</v>
      </c>
      <c r="C8" s="60">
        <v>440</v>
      </c>
      <c r="D8" s="61">
        <f>$C$66</f>
        <v>19.444444444444443</v>
      </c>
      <c r="E8" s="62">
        <f>C8*D8</f>
        <v>8555.5555555555547</v>
      </c>
    </row>
    <row r="9" spans="1:10" ht="19.899999999999999" customHeight="1" x14ac:dyDescent="0.2">
      <c r="A9" s="59" t="s">
        <v>50</v>
      </c>
      <c r="B9" s="70" t="s">
        <v>17</v>
      </c>
      <c r="C9" s="60">
        <v>315</v>
      </c>
      <c r="D9" s="61">
        <f>$C$67</f>
        <v>15.74074074074074</v>
      </c>
      <c r="E9" s="62">
        <f>C9*D9</f>
        <v>4958.333333333333</v>
      </c>
      <c r="F9" s="72"/>
    </row>
    <row r="10" spans="1:10" ht="50.1" customHeight="1" x14ac:dyDescent="0.2">
      <c r="A10" s="57" t="s">
        <v>16</v>
      </c>
      <c r="B10" s="70"/>
      <c r="C10" s="60"/>
      <c r="D10" s="61"/>
      <c r="E10" s="62"/>
    </row>
    <row r="11" spans="1:10" ht="19.899999999999999" customHeight="1" x14ac:dyDescent="0.2">
      <c r="A11" s="59" t="s">
        <v>49</v>
      </c>
      <c r="B11" s="70" t="s">
        <v>17</v>
      </c>
      <c r="C11" s="60">
        <v>285</v>
      </c>
      <c r="D11" s="61">
        <f>$C$66</f>
        <v>19.444444444444443</v>
      </c>
      <c r="E11" s="62">
        <f>C11*D11</f>
        <v>5541.6666666666661</v>
      </c>
    </row>
    <row r="12" spans="1:10" ht="19.899999999999999" customHeight="1" x14ac:dyDescent="0.2">
      <c r="A12" s="59" t="s">
        <v>50</v>
      </c>
      <c r="B12" s="70" t="s">
        <v>17</v>
      </c>
      <c r="C12" s="60">
        <v>295</v>
      </c>
      <c r="D12" s="61">
        <f>$C$67</f>
        <v>15.74074074074074</v>
      </c>
      <c r="E12" s="62">
        <f>C12*D12</f>
        <v>4643.5185185185182</v>
      </c>
      <c r="F12" s="72"/>
    </row>
    <row r="13" spans="1:10" ht="41.45" customHeight="1" x14ac:dyDescent="0.2">
      <c r="A13" s="57" t="s">
        <v>40</v>
      </c>
      <c r="B13" s="95"/>
      <c r="C13" s="60"/>
      <c r="D13" s="61"/>
      <c r="E13" s="62"/>
    </row>
    <row r="14" spans="1:10" ht="19.899999999999999" customHeight="1" x14ac:dyDescent="0.2">
      <c r="A14" s="59" t="s">
        <v>49</v>
      </c>
      <c r="B14" s="95" t="s">
        <v>17</v>
      </c>
      <c r="C14" s="60">
        <v>205</v>
      </c>
      <c r="D14" s="61">
        <f>$C$66</f>
        <v>19.444444444444443</v>
      </c>
      <c r="E14" s="62">
        <f>C14*D14</f>
        <v>3986.1111111111109</v>
      </c>
    </row>
    <row r="15" spans="1:10" ht="19.899999999999999" customHeight="1" x14ac:dyDescent="0.2">
      <c r="A15" s="59" t="s">
        <v>50</v>
      </c>
      <c r="B15" s="95" t="s">
        <v>17</v>
      </c>
      <c r="C15" s="60">
        <v>125</v>
      </c>
      <c r="D15" s="61">
        <f>$C$67</f>
        <v>15.74074074074074</v>
      </c>
      <c r="E15" s="62">
        <f>C15*D15</f>
        <v>1967.5925925925926</v>
      </c>
      <c r="F15" s="72"/>
    </row>
    <row r="16" spans="1:10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40148.148148148146</v>
      </c>
    </row>
    <row r="17" spans="1:10" ht="24.95" customHeight="1" x14ac:dyDescent="0.2">
      <c r="A17" s="206"/>
      <c r="B17" s="207" t="s">
        <v>87</v>
      </c>
      <c r="C17" s="207"/>
      <c r="D17" s="207"/>
      <c r="E17" s="62">
        <f>H19*H22</f>
        <v>13527.752628953551</v>
      </c>
      <c r="F17" s="76"/>
      <c r="I17" s="55"/>
      <c r="J17" s="55"/>
    </row>
    <row r="18" spans="1:10" ht="24.95" customHeight="1" x14ac:dyDescent="0.2">
      <c r="A18" s="206"/>
      <c r="B18" s="207" t="s">
        <v>83</v>
      </c>
      <c r="C18" s="207"/>
      <c r="D18" s="207"/>
      <c r="E18" s="62">
        <v>800</v>
      </c>
      <c r="G18" s="106"/>
    </row>
    <row r="19" spans="1:10" ht="24.95" customHeight="1" x14ac:dyDescent="0.2">
      <c r="A19" s="206"/>
      <c r="B19" s="207" t="s">
        <v>57</v>
      </c>
      <c r="C19" s="207"/>
      <c r="D19" s="207"/>
      <c r="E19" s="62">
        <v>600</v>
      </c>
      <c r="G19" s="107" t="s">
        <v>94</v>
      </c>
      <c r="H19" s="108">
        <v>17262.236000000001</v>
      </c>
    </row>
    <row r="20" spans="1:10" ht="24.95" customHeight="1" x14ac:dyDescent="0.2">
      <c r="A20" s="206"/>
      <c r="B20" s="207" t="s">
        <v>20</v>
      </c>
      <c r="C20" s="207"/>
      <c r="D20" s="207"/>
      <c r="E20" s="62">
        <f>SUM(E16:E17)+E18+E19</f>
        <v>55075.900777101699</v>
      </c>
      <c r="G20" s="107" t="s">
        <v>18</v>
      </c>
      <c r="H20" s="108">
        <f>E16</f>
        <v>40148.148148148146</v>
      </c>
    </row>
    <row r="21" spans="1:10" ht="24.95" customHeight="1" x14ac:dyDescent="0.2">
      <c r="A21" s="206"/>
      <c r="B21" s="207" t="s">
        <v>21</v>
      </c>
      <c r="C21" s="207"/>
      <c r="D21" s="207"/>
      <c r="E21" s="62">
        <f>E20*0.2</f>
        <v>11015.180155420341</v>
      </c>
      <c r="F21" s="72"/>
      <c r="G21" s="107" t="s">
        <v>91</v>
      </c>
      <c r="H21" s="108">
        <f>E16+E41+E52</f>
        <v>51231.481481481482</v>
      </c>
    </row>
    <row r="22" spans="1:10" ht="24.95" customHeight="1" x14ac:dyDescent="0.2">
      <c r="A22" s="64" t="s">
        <v>22</v>
      </c>
      <c r="B22" s="202"/>
      <c r="C22" s="202"/>
      <c r="D22" s="202"/>
      <c r="E22" s="65">
        <f>SUM(E20:E21)</f>
        <v>66091.080932522047</v>
      </c>
      <c r="G22" s="107" t="s">
        <v>92</v>
      </c>
      <c r="H22" s="109">
        <f>H20/H21</f>
        <v>0.78366166636544365</v>
      </c>
    </row>
    <row r="23" spans="1:10" x14ac:dyDescent="0.2">
      <c r="A23" s="8"/>
      <c r="B23" s="9"/>
      <c r="C23" s="9"/>
      <c r="D23" s="9"/>
      <c r="E23" s="9"/>
    </row>
    <row r="24" spans="1:10" ht="28.15" customHeight="1" x14ac:dyDescent="0.2">
      <c r="A24" s="205" t="s">
        <v>96</v>
      </c>
      <c r="B24" s="205"/>
      <c r="C24" s="205"/>
      <c r="D24" s="205"/>
      <c r="E24" s="205"/>
    </row>
    <row r="25" spans="1:10" ht="24.95" customHeight="1" x14ac:dyDescent="0.2">
      <c r="A25" s="70" t="s">
        <v>9</v>
      </c>
      <c r="B25" s="70" t="s">
        <v>10</v>
      </c>
      <c r="C25" s="70" t="s">
        <v>11</v>
      </c>
      <c r="D25" s="70" t="s">
        <v>12</v>
      </c>
      <c r="E25" s="70" t="s">
        <v>13</v>
      </c>
      <c r="H25" s="110">
        <f>E16+E28+E41+E52</f>
        <v>64998.148148148146</v>
      </c>
    </row>
    <row r="26" spans="1:10" ht="24.95" customHeight="1" x14ac:dyDescent="0.2">
      <c r="A26" s="71" t="s">
        <v>49</v>
      </c>
      <c r="B26" s="70" t="s">
        <v>17</v>
      </c>
      <c r="C26" s="60">
        <v>504</v>
      </c>
      <c r="D26" s="61">
        <f>C66</f>
        <v>19.444444444444443</v>
      </c>
      <c r="E26" s="62">
        <f>C26*D26</f>
        <v>9800</v>
      </c>
      <c r="F26" s="76"/>
      <c r="I26" s="55"/>
      <c r="J26" s="55"/>
    </row>
    <row r="27" spans="1:10" ht="24.95" customHeight="1" x14ac:dyDescent="0.2">
      <c r="A27" s="71" t="s">
        <v>50</v>
      </c>
      <c r="B27" s="70" t="s">
        <v>17</v>
      </c>
      <c r="C27" s="60">
        <v>252</v>
      </c>
      <c r="D27" s="61">
        <f>C67</f>
        <v>15.74074074074074</v>
      </c>
      <c r="E27" s="62">
        <f>C27*D27</f>
        <v>3966.6666666666665</v>
      </c>
      <c r="F27" s="76"/>
      <c r="I27" s="55"/>
      <c r="J27" s="55"/>
    </row>
    <row r="28" spans="1:10" ht="24.95" customHeight="1" x14ac:dyDescent="0.2">
      <c r="A28" s="206" t="s">
        <v>86</v>
      </c>
      <c r="B28" s="207" t="s">
        <v>54</v>
      </c>
      <c r="C28" s="207"/>
      <c r="D28" s="207"/>
      <c r="E28" s="62">
        <f>E26+E27</f>
        <v>13766.666666666666</v>
      </c>
    </row>
    <row r="29" spans="1:10" ht="24.95" customHeight="1" x14ac:dyDescent="0.2">
      <c r="A29" s="206"/>
      <c r="B29" s="207" t="s">
        <v>87</v>
      </c>
      <c r="C29" s="207"/>
      <c r="D29" s="207"/>
      <c r="E29" s="62">
        <f>14430</f>
        <v>14430</v>
      </c>
      <c r="F29" s="76"/>
      <c r="I29" s="55"/>
      <c r="J29" s="55"/>
    </row>
    <row r="30" spans="1:10" ht="24.95" customHeight="1" x14ac:dyDescent="0.2">
      <c r="A30" s="206"/>
      <c r="B30" s="207" t="s">
        <v>83</v>
      </c>
      <c r="C30" s="207"/>
      <c r="D30" s="207"/>
      <c r="E30" s="62">
        <v>400</v>
      </c>
      <c r="F30" s="69"/>
    </row>
    <row r="31" spans="1:10" ht="24.95" customHeight="1" x14ac:dyDescent="0.2">
      <c r="A31" s="206"/>
      <c r="B31" s="207" t="s">
        <v>57</v>
      </c>
      <c r="C31" s="207"/>
      <c r="D31" s="207"/>
      <c r="E31" s="62">
        <v>200</v>
      </c>
    </row>
    <row r="32" spans="1:10" ht="24.95" customHeight="1" x14ac:dyDescent="0.2">
      <c r="A32" s="206"/>
      <c r="B32" s="207" t="s">
        <v>20</v>
      </c>
      <c r="C32" s="207"/>
      <c r="D32" s="207"/>
      <c r="E32" s="62">
        <f>SUM(E28:E31)</f>
        <v>28796.666666666664</v>
      </c>
    </row>
    <row r="33" spans="1:10" ht="24.95" customHeight="1" x14ac:dyDescent="0.2">
      <c r="A33" s="206"/>
      <c r="B33" s="207" t="s">
        <v>21</v>
      </c>
      <c r="C33" s="207"/>
      <c r="D33" s="207"/>
      <c r="E33" s="62">
        <f>E32*0.2</f>
        <v>5759.333333333333</v>
      </c>
    </row>
    <row r="34" spans="1:10" ht="24.95" customHeight="1" x14ac:dyDescent="0.2">
      <c r="A34" s="64" t="s">
        <v>26</v>
      </c>
      <c r="B34" s="202"/>
      <c r="C34" s="202"/>
      <c r="D34" s="202"/>
      <c r="E34" s="65">
        <f>SUM(E32:E33)</f>
        <v>34556</v>
      </c>
    </row>
    <row r="35" spans="1:10" ht="24.95" customHeight="1" x14ac:dyDescent="0.2">
      <c r="A35" s="33"/>
      <c r="B35" s="34"/>
      <c r="C35" s="34"/>
      <c r="D35" s="34"/>
      <c r="E35" s="35"/>
    </row>
    <row r="36" spans="1:10" ht="24" customHeight="1" x14ac:dyDescent="0.2">
      <c r="A36" s="205" t="s">
        <v>82</v>
      </c>
      <c r="B36" s="205"/>
      <c r="C36" s="205"/>
      <c r="D36" s="205"/>
      <c r="E36" s="205"/>
    </row>
    <row r="37" spans="1:10" ht="24.95" customHeight="1" x14ac:dyDescent="0.2">
      <c r="A37" s="70" t="s">
        <v>9</v>
      </c>
      <c r="B37" s="70" t="s">
        <v>10</v>
      </c>
      <c r="C37" s="70" t="s">
        <v>11</v>
      </c>
      <c r="D37" s="70" t="s">
        <v>12</v>
      </c>
      <c r="E37" s="70" t="s">
        <v>13</v>
      </c>
    </row>
    <row r="38" spans="1:10" ht="24.95" customHeight="1" x14ac:dyDescent="0.2">
      <c r="A38" s="71" t="s">
        <v>23</v>
      </c>
      <c r="B38" s="70" t="s">
        <v>17</v>
      </c>
      <c r="C38" s="60">
        <v>252</v>
      </c>
      <c r="D38" s="61">
        <f>C69</f>
        <v>9.2592592592592595</v>
      </c>
      <c r="E38" s="62">
        <f>C38*D38</f>
        <v>2333.3333333333335</v>
      </c>
    </row>
    <row r="39" spans="1:10" ht="24.95" customHeight="1" x14ac:dyDescent="0.2">
      <c r="A39" s="71" t="s">
        <v>24</v>
      </c>
      <c r="B39" s="70" t="s">
        <v>17</v>
      </c>
      <c r="C39" s="60">
        <v>30</v>
      </c>
      <c r="D39" s="61">
        <f>C66</f>
        <v>19.444444444444443</v>
      </c>
      <c r="E39" s="62">
        <f>C39*D39</f>
        <v>583.33333333333326</v>
      </c>
      <c r="F39" s="72"/>
    </row>
    <row r="40" spans="1:10" ht="24.95" customHeight="1" x14ac:dyDescent="0.2">
      <c r="A40" s="71" t="s">
        <v>25</v>
      </c>
      <c r="B40" s="70"/>
      <c r="C40" s="68"/>
      <c r="D40" s="68"/>
      <c r="E40" s="62">
        <f>SUM(E38:E39)</f>
        <v>2916.666666666667</v>
      </c>
    </row>
    <row r="41" spans="1:10" ht="24.95" customHeight="1" x14ac:dyDescent="0.2">
      <c r="A41" s="206" t="s">
        <v>86</v>
      </c>
      <c r="B41" s="207" t="s">
        <v>79</v>
      </c>
      <c r="C41" s="207"/>
      <c r="D41" s="207"/>
      <c r="E41" s="62">
        <f>3*(E38+E39)</f>
        <v>8750</v>
      </c>
    </row>
    <row r="42" spans="1:10" ht="24.95" customHeight="1" x14ac:dyDescent="0.2">
      <c r="A42" s="206"/>
      <c r="B42" s="207" t="s">
        <v>87</v>
      </c>
      <c r="C42" s="207"/>
      <c r="D42" s="207"/>
      <c r="E42" s="62">
        <f>H42*H45</f>
        <v>2948.2763455629856</v>
      </c>
      <c r="F42" s="87"/>
      <c r="G42" s="107" t="s">
        <v>94</v>
      </c>
      <c r="H42" s="108">
        <v>17262.236000000001</v>
      </c>
      <c r="I42" s="55"/>
      <c r="J42" s="55"/>
    </row>
    <row r="43" spans="1:10" ht="24.95" customHeight="1" x14ac:dyDescent="0.2">
      <c r="A43" s="206"/>
      <c r="B43" s="207" t="s">
        <v>20</v>
      </c>
      <c r="C43" s="207"/>
      <c r="D43" s="207"/>
      <c r="E43" s="62">
        <f>SUM(E41:E42)</f>
        <v>11698.276345562987</v>
      </c>
      <c r="G43" s="107" t="s">
        <v>18</v>
      </c>
      <c r="H43" s="108">
        <f>E41</f>
        <v>8750</v>
      </c>
    </row>
    <row r="44" spans="1:10" ht="24.95" customHeight="1" x14ac:dyDescent="0.2">
      <c r="A44" s="206"/>
      <c r="B44" s="207" t="s">
        <v>21</v>
      </c>
      <c r="C44" s="207"/>
      <c r="D44" s="207"/>
      <c r="E44" s="62">
        <f>E43*0.2</f>
        <v>2339.6552691125976</v>
      </c>
      <c r="G44" s="107" t="s">
        <v>91</v>
      </c>
      <c r="H44" s="108">
        <f>H21</f>
        <v>51231.481481481482</v>
      </c>
    </row>
    <row r="45" spans="1:10" ht="24.95" customHeight="1" x14ac:dyDescent="0.2">
      <c r="A45" s="64" t="s">
        <v>39</v>
      </c>
      <c r="B45" s="202"/>
      <c r="C45" s="202"/>
      <c r="D45" s="202"/>
      <c r="E45" s="65">
        <f>SUM(E43:E44)</f>
        <v>14037.931614675585</v>
      </c>
      <c r="G45" s="107" t="s">
        <v>92</v>
      </c>
      <c r="H45" s="109">
        <f>H43/H44</f>
        <v>0.17079342129043917</v>
      </c>
    </row>
    <row r="46" spans="1:10" x14ac:dyDescent="0.2">
      <c r="A46" s="12"/>
    </row>
    <row r="47" spans="1:10" ht="33.75" customHeight="1" x14ac:dyDescent="0.2">
      <c r="A47" s="205" t="s">
        <v>97</v>
      </c>
      <c r="B47" s="205"/>
      <c r="C47" s="205"/>
      <c r="D47" s="205"/>
      <c r="E47" s="205"/>
      <c r="F47" s="42"/>
    </row>
    <row r="48" spans="1:10" ht="24.95" customHeight="1" x14ac:dyDescent="0.2">
      <c r="A48" s="98" t="s">
        <v>9</v>
      </c>
      <c r="B48" s="98" t="s">
        <v>10</v>
      </c>
      <c r="C48" s="98" t="s">
        <v>11</v>
      </c>
      <c r="D48" s="98" t="s">
        <v>12</v>
      </c>
      <c r="E48" s="98" t="s">
        <v>13</v>
      </c>
      <c r="F48" s="42"/>
    </row>
    <row r="49" spans="1:10" ht="86.45" customHeight="1" x14ac:dyDescent="0.2">
      <c r="A49" s="57" t="s">
        <v>98</v>
      </c>
      <c r="B49" s="98"/>
      <c r="C49" s="60"/>
      <c r="D49" s="61"/>
      <c r="E49" s="62"/>
      <c r="F49" s="42"/>
    </row>
    <row r="50" spans="1:10" ht="19.899999999999999" customHeight="1" x14ac:dyDescent="0.2">
      <c r="A50" s="59" t="s">
        <v>49</v>
      </c>
      <c r="B50" s="98" t="s">
        <v>17</v>
      </c>
      <c r="C50" s="60">
        <v>120</v>
      </c>
      <c r="D50" s="61">
        <f>$C$66</f>
        <v>19.444444444444443</v>
      </c>
      <c r="E50" s="62">
        <f>C50*D50</f>
        <v>2333.333333333333</v>
      </c>
      <c r="F50" s="88"/>
      <c r="I50" s="55"/>
      <c r="J50" s="55"/>
    </row>
    <row r="51" spans="1:10" ht="21.75" customHeight="1" x14ac:dyDescent="0.2">
      <c r="A51" s="59" t="s">
        <v>50</v>
      </c>
      <c r="B51" s="98" t="s">
        <v>17</v>
      </c>
      <c r="C51" s="60"/>
      <c r="D51" s="61">
        <f>$C$70</f>
        <v>0</v>
      </c>
      <c r="E51" s="62">
        <f>C51*D51</f>
        <v>0</v>
      </c>
      <c r="F51" s="72"/>
    </row>
    <row r="52" spans="1:10" ht="24.95" customHeight="1" x14ac:dyDescent="0.2">
      <c r="A52" s="206" t="s">
        <v>86</v>
      </c>
      <c r="B52" s="207" t="s">
        <v>18</v>
      </c>
      <c r="C52" s="207"/>
      <c r="D52" s="207"/>
      <c r="E52" s="62">
        <f>SUM(E50:E51)</f>
        <v>2333.333333333333</v>
      </c>
      <c r="F52" s="102"/>
    </row>
    <row r="53" spans="1:10" ht="24.95" customHeight="1" x14ac:dyDescent="0.2">
      <c r="A53" s="206"/>
      <c r="B53" s="207" t="s">
        <v>87</v>
      </c>
      <c r="C53" s="207"/>
      <c r="D53" s="207"/>
      <c r="E53" s="62">
        <f>H54*H57</f>
        <v>786.20702548346276</v>
      </c>
      <c r="F53" s="102"/>
      <c r="I53" s="55"/>
      <c r="J53" s="55"/>
    </row>
    <row r="54" spans="1:10" ht="24.95" customHeight="1" x14ac:dyDescent="0.2">
      <c r="A54" s="206"/>
      <c r="B54" s="207" t="s">
        <v>20</v>
      </c>
      <c r="C54" s="207"/>
      <c r="D54" s="207"/>
      <c r="E54" s="62">
        <f>SUM(E52:E53)</f>
        <v>3119.5403588167956</v>
      </c>
      <c r="F54" s="42"/>
      <c r="G54" s="107" t="s">
        <v>93</v>
      </c>
      <c r="H54" s="108">
        <v>17262.236000000001</v>
      </c>
    </row>
    <row r="55" spans="1:10" ht="24.95" customHeight="1" x14ac:dyDescent="0.2">
      <c r="A55" s="206"/>
      <c r="B55" s="207" t="s">
        <v>21</v>
      </c>
      <c r="C55" s="207"/>
      <c r="D55" s="207"/>
      <c r="E55" s="62">
        <f>E54*0.2</f>
        <v>623.9080717633592</v>
      </c>
      <c r="F55" s="42"/>
      <c r="G55" s="107" t="s">
        <v>18</v>
      </c>
      <c r="H55" s="108">
        <f>E52</f>
        <v>2333.333333333333</v>
      </c>
    </row>
    <row r="56" spans="1:10" ht="24.95" customHeight="1" x14ac:dyDescent="0.2">
      <c r="A56" s="64" t="s">
        <v>59</v>
      </c>
      <c r="B56" s="202"/>
      <c r="C56" s="202"/>
      <c r="D56" s="202"/>
      <c r="E56" s="65">
        <f>SUM(E54:E55)</f>
        <v>3743.4484305801548</v>
      </c>
      <c r="F56" s="42"/>
      <c r="G56" s="107" t="s">
        <v>91</v>
      </c>
      <c r="H56" s="108">
        <f>H21</f>
        <v>51231.481481481482</v>
      </c>
      <c r="I56" s="91"/>
    </row>
    <row r="57" spans="1:10" ht="24.95" customHeight="1" x14ac:dyDescent="0.2">
      <c r="A57" s="208" t="s">
        <v>66</v>
      </c>
      <c r="B57" s="208"/>
      <c r="C57" s="208"/>
      <c r="D57" s="208"/>
      <c r="E57" s="65">
        <f>E22+E45+E56+E34</f>
        <v>118428.4609777778</v>
      </c>
      <c r="F57" s="69"/>
      <c r="G57" s="107" t="s">
        <v>92</v>
      </c>
      <c r="H57" s="109">
        <f>H55/H56</f>
        <v>4.554491234411711E-2</v>
      </c>
    </row>
    <row r="58" spans="1:10" x14ac:dyDescent="0.2">
      <c r="A58" s="12"/>
      <c r="E58" s="104">
        <f>E57-E34</f>
        <v>83872.460977777795</v>
      </c>
    </row>
    <row r="59" spans="1:10" x14ac:dyDescent="0.2">
      <c r="A59" s="12"/>
      <c r="E59" s="31"/>
    </row>
    <row r="60" spans="1:10" x14ac:dyDescent="0.2">
      <c r="A60" s="12"/>
    </row>
    <row r="61" spans="1:10" x14ac:dyDescent="0.2">
      <c r="A61" s="12"/>
    </row>
    <row r="62" spans="1:10" x14ac:dyDescent="0.2">
      <c r="A62" s="12"/>
    </row>
    <row r="63" spans="1:10" x14ac:dyDescent="0.2">
      <c r="A63" s="12"/>
    </row>
    <row r="64" spans="1:10" x14ac:dyDescent="0.2">
      <c r="A64" s="12"/>
      <c r="B64" s="54"/>
      <c r="D64" s="43"/>
    </row>
    <row r="65" spans="1:5" ht="64.5" customHeight="1" x14ac:dyDescent="0.2">
      <c r="A65" s="60" t="s">
        <v>0</v>
      </c>
      <c r="B65" s="60" t="s">
        <v>1</v>
      </c>
      <c r="C65" s="60" t="s">
        <v>2</v>
      </c>
      <c r="D65" s="44" t="s">
        <v>77</v>
      </c>
      <c r="E65" s="16"/>
    </row>
    <row r="66" spans="1:5" ht="14.25" customHeight="1" x14ac:dyDescent="0.2">
      <c r="A66" s="99" t="s">
        <v>49</v>
      </c>
      <c r="B66" s="60">
        <v>420</v>
      </c>
      <c r="C66" s="61">
        <f>B66/21.6</f>
        <v>19.444444444444443</v>
      </c>
      <c r="D66" s="45">
        <v>320</v>
      </c>
      <c r="E66" s="14"/>
    </row>
    <row r="67" spans="1:5" x14ac:dyDescent="0.2">
      <c r="A67" s="99" t="s">
        <v>50</v>
      </c>
      <c r="B67" s="60">
        <v>340</v>
      </c>
      <c r="C67" s="61">
        <f>B67/21.6</f>
        <v>15.74074074074074</v>
      </c>
      <c r="D67" s="45">
        <v>290</v>
      </c>
      <c r="E67" s="14"/>
    </row>
    <row r="68" spans="1:5" x14ac:dyDescent="0.2">
      <c r="A68" s="99" t="s">
        <v>51</v>
      </c>
      <c r="B68" s="60">
        <v>270</v>
      </c>
      <c r="C68" s="61">
        <f>B68/21.6</f>
        <v>12.5</v>
      </c>
      <c r="D68" s="45">
        <v>240</v>
      </c>
      <c r="E68" s="14"/>
    </row>
    <row r="69" spans="1:5" x14ac:dyDescent="0.2">
      <c r="A69" s="99" t="s">
        <v>52</v>
      </c>
      <c r="B69" s="60">
        <v>200</v>
      </c>
      <c r="C69" s="61">
        <f>B69/21.6</f>
        <v>9.2592592592592595</v>
      </c>
      <c r="D69" s="45">
        <v>170</v>
      </c>
      <c r="E69" s="14"/>
    </row>
    <row r="70" spans="1:5" x14ac:dyDescent="0.2">
      <c r="A70" s="39"/>
      <c r="B70" s="16"/>
      <c r="C70" s="16"/>
      <c r="D70" s="44"/>
      <c r="E70" s="16"/>
    </row>
    <row r="73" spans="1:5" x14ac:dyDescent="0.2">
      <c r="A73" s="55"/>
      <c r="B73" s="54"/>
      <c r="C73" s="54"/>
      <c r="D73" s="54"/>
    </row>
    <row r="74" spans="1:5" x14ac:dyDescent="0.2">
      <c r="A74" s="55"/>
      <c r="B74" s="54"/>
      <c r="C74" s="54"/>
      <c r="D74" s="54"/>
    </row>
    <row r="75" spans="1:5" x14ac:dyDescent="0.2">
      <c r="A75" s="55"/>
      <c r="B75" s="54"/>
      <c r="C75" s="54"/>
      <c r="D75" s="54"/>
    </row>
    <row r="76" spans="1:5" x14ac:dyDescent="0.2">
      <c r="A76" s="55"/>
      <c r="B76" s="54"/>
      <c r="C76" s="54"/>
      <c r="D76" s="54"/>
    </row>
    <row r="77" spans="1:5" x14ac:dyDescent="0.2">
      <c r="A77" s="55"/>
      <c r="B77" s="54"/>
      <c r="C77" s="54"/>
      <c r="D77" s="54"/>
    </row>
    <row r="78" spans="1:5" x14ac:dyDescent="0.2">
      <c r="A78" s="55"/>
      <c r="B78" s="54"/>
      <c r="C78" s="54"/>
      <c r="D78" s="54"/>
    </row>
    <row r="79" spans="1:5" x14ac:dyDescent="0.2">
      <c r="A79" s="55"/>
      <c r="B79" s="54"/>
      <c r="C79" s="54"/>
      <c r="D79" s="54"/>
    </row>
    <row r="80" spans="1:5" x14ac:dyDescent="0.2">
      <c r="A80" s="55"/>
      <c r="B80" s="54"/>
      <c r="C80" s="54"/>
      <c r="D80" s="54"/>
    </row>
    <row r="81" spans="1:4" x14ac:dyDescent="0.2">
      <c r="A81" s="55"/>
      <c r="B81" s="54"/>
      <c r="C81" s="54"/>
      <c r="D81" s="54"/>
    </row>
    <row r="82" spans="1:4" x14ac:dyDescent="0.2">
      <c r="A82" s="55"/>
      <c r="B82" s="54"/>
      <c r="C82" s="54"/>
      <c r="D82" s="54"/>
    </row>
    <row r="83" spans="1:4" x14ac:dyDescent="0.2">
      <c r="A83" s="55"/>
      <c r="B83" s="54"/>
      <c r="C83" s="54"/>
      <c r="D83" s="54"/>
    </row>
    <row r="84" spans="1:4" x14ac:dyDescent="0.2">
      <c r="A84" s="55"/>
      <c r="B84" s="54"/>
      <c r="C84" s="54"/>
      <c r="D84" s="54"/>
    </row>
    <row r="85" spans="1:4" x14ac:dyDescent="0.2">
      <c r="A85" s="55"/>
      <c r="B85" s="54"/>
      <c r="C85" s="54"/>
      <c r="D85" s="54"/>
    </row>
    <row r="86" spans="1:4" x14ac:dyDescent="0.2">
      <c r="A86" s="55"/>
      <c r="B86" s="54"/>
      <c r="C86" s="54"/>
      <c r="D86" s="54"/>
    </row>
    <row r="87" spans="1:4" x14ac:dyDescent="0.2">
      <c r="A87" s="55"/>
      <c r="B87" s="54"/>
      <c r="C87" s="54"/>
      <c r="D87" s="54"/>
    </row>
    <row r="88" spans="1:4" x14ac:dyDescent="0.2">
      <c r="A88" s="55"/>
      <c r="B88" s="54"/>
      <c r="C88" s="54"/>
      <c r="D88" s="54"/>
    </row>
    <row r="89" spans="1:4" x14ac:dyDescent="0.2">
      <c r="A89" s="55"/>
      <c r="B89" s="54"/>
      <c r="C89" s="54"/>
      <c r="D89" s="54"/>
    </row>
    <row r="90" spans="1:4" x14ac:dyDescent="0.2">
      <c r="A90" s="55"/>
      <c r="B90" s="54"/>
      <c r="C90" s="54"/>
      <c r="D90" s="54"/>
    </row>
  </sheetData>
  <mergeCells count="34">
    <mergeCell ref="B56:D56"/>
    <mergeCell ref="A57:D57"/>
    <mergeCell ref="A47:E47"/>
    <mergeCell ref="A52:A55"/>
    <mergeCell ref="B52:D52"/>
    <mergeCell ref="B53:D53"/>
    <mergeCell ref="B54:D54"/>
    <mergeCell ref="B55:D55"/>
    <mergeCell ref="B32:D32"/>
    <mergeCell ref="B33:D33"/>
    <mergeCell ref="A2:E2"/>
    <mergeCell ref="A16:A21"/>
    <mergeCell ref="B16:D16"/>
    <mergeCell ref="B17:D17"/>
    <mergeCell ref="B18:D18"/>
    <mergeCell ref="B19:D19"/>
    <mergeCell ref="B20:D20"/>
    <mergeCell ref="B21:D21"/>
    <mergeCell ref="A1:F1"/>
    <mergeCell ref="B45:D45"/>
    <mergeCell ref="B34:D34"/>
    <mergeCell ref="A36:E36"/>
    <mergeCell ref="A41:A44"/>
    <mergeCell ref="B41:D41"/>
    <mergeCell ref="B42:D42"/>
    <mergeCell ref="B43:D43"/>
    <mergeCell ref="B44:D44"/>
    <mergeCell ref="B22:D22"/>
    <mergeCell ref="A24:E24"/>
    <mergeCell ref="A28:A33"/>
    <mergeCell ref="B28:D28"/>
    <mergeCell ref="B29:D29"/>
    <mergeCell ref="B30:D30"/>
    <mergeCell ref="B31:D31"/>
  </mergeCells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9"/>
  <sheetViews>
    <sheetView workbookViewId="0">
      <selection activeCell="G16" sqref="G1:H65536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55" bestFit="1" customWidth="1"/>
    <col min="7" max="7" width="21.140625" style="105" customWidth="1"/>
    <col min="8" max="8" width="13.85546875" style="105" customWidth="1"/>
    <col min="9" max="9" width="9.140625" style="105"/>
    <col min="10" max="10" width="9.140625" style="18"/>
    <col min="11" max="16384" width="9.140625" style="1"/>
  </cols>
  <sheetData>
    <row r="1" spans="1:12" x14ac:dyDescent="0.2">
      <c r="A1" s="201" t="s">
        <v>95</v>
      </c>
      <c r="B1" s="201"/>
      <c r="C1" s="201"/>
      <c r="D1" s="201"/>
      <c r="E1" s="201"/>
      <c r="F1" s="201"/>
    </row>
    <row r="2" spans="1:12" ht="20.100000000000001" customHeight="1" x14ac:dyDescent="0.2">
      <c r="A2" s="205" t="s">
        <v>8</v>
      </c>
      <c r="B2" s="205"/>
      <c r="C2" s="205"/>
      <c r="D2" s="205"/>
      <c r="E2" s="205"/>
    </row>
    <row r="3" spans="1:12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12" ht="30" customHeight="1" x14ac:dyDescent="0.2">
      <c r="A4" s="57" t="s">
        <v>85</v>
      </c>
      <c r="B4" s="58"/>
      <c r="C4" s="58"/>
      <c r="D4" s="58"/>
      <c r="E4" s="58"/>
    </row>
    <row r="5" spans="1:12" ht="19.899999999999999" customHeight="1" x14ac:dyDescent="0.2">
      <c r="A5" s="59" t="s">
        <v>49</v>
      </c>
      <c r="B5" s="78" t="s">
        <v>17</v>
      </c>
      <c r="C5" s="60">
        <v>285</v>
      </c>
      <c r="D5" s="61">
        <f>$C$45</f>
        <v>19.907407407407405</v>
      </c>
      <c r="E5" s="62">
        <f>C5*D5</f>
        <v>5673.6111111111104</v>
      </c>
      <c r="F5" s="76"/>
      <c r="J5" s="55"/>
    </row>
    <row r="6" spans="1:12" ht="19.899999999999999" customHeight="1" x14ac:dyDescent="0.2">
      <c r="A6" s="59" t="s">
        <v>50</v>
      </c>
      <c r="B6" s="78" t="s">
        <v>17</v>
      </c>
      <c r="C6" s="60">
        <v>95</v>
      </c>
      <c r="D6" s="61">
        <f>$C$46</f>
        <v>16.203703703703702</v>
      </c>
      <c r="E6" s="62">
        <f>C6*D6</f>
        <v>1539.3518518518517</v>
      </c>
      <c r="F6" s="72"/>
    </row>
    <row r="7" spans="1:12" ht="30" customHeight="1" x14ac:dyDescent="0.2">
      <c r="A7" s="57" t="s">
        <v>15</v>
      </c>
      <c r="B7" s="78"/>
      <c r="C7" s="60"/>
      <c r="D7" s="61"/>
      <c r="E7" s="62"/>
    </row>
    <row r="8" spans="1:12" ht="19.899999999999999" customHeight="1" x14ac:dyDescent="0.2">
      <c r="A8" s="59" t="s">
        <v>49</v>
      </c>
      <c r="B8" s="78" t="s">
        <v>17</v>
      </c>
      <c r="C8" s="60">
        <v>400</v>
      </c>
      <c r="D8" s="61">
        <f>$C$45</f>
        <v>19.907407407407405</v>
      </c>
      <c r="E8" s="62">
        <f>C8*D8</f>
        <v>7962.9629629629617</v>
      </c>
    </row>
    <row r="9" spans="1:12" ht="19.899999999999999" customHeight="1" x14ac:dyDescent="0.2">
      <c r="A9" s="59" t="s">
        <v>50</v>
      </c>
      <c r="B9" s="78" t="s">
        <v>17</v>
      </c>
      <c r="C9" s="60">
        <v>230</v>
      </c>
      <c r="D9" s="61">
        <f>$C$46</f>
        <v>16.203703703703702</v>
      </c>
      <c r="E9" s="62">
        <f>C9*D9</f>
        <v>3726.8518518518517</v>
      </c>
      <c r="F9" s="72"/>
    </row>
    <row r="10" spans="1:12" ht="50.1" customHeight="1" x14ac:dyDescent="0.2">
      <c r="A10" s="57" t="s">
        <v>16</v>
      </c>
      <c r="B10" s="78"/>
      <c r="C10" s="60"/>
      <c r="D10" s="61"/>
      <c r="E10" s="62"/>
    </row>
    <row r="11" spans="1:12" ht="19.899999999999999" customHeight="1" x14ac:dyDescent="0.2">
      <c r="A11" s="59" t="s">
        <v>49</v>
      </c>
      <c r="B11" s="78" t="s">
        <v>17</v>
      </c>
      <c r="C11" s="60">
        <v>260</v>
      </c>
      <c r="D11" s="61">
        <f>$C$45</f>
        <v>19.907407407407405</v>
      </c>
      <c r="E11" s="62">
        <f>C11*D11</f>
        <v>5175.9259259259252</v>
      </c>
    </row>
    <row r="12" spans="1:12" ht="19.899999999999999" customHeight="1" x14ac:dyDescent="0.2">
      <c r="A12" s="59" t="s">
        <v>50</v>
      </c>
      <c r="B12" s="78" t="s">
        <v>17</v>
      </c>
      <c r="C12" s="60">
        <v>310</v>
      </c>
      <c r="D12" s="61">
        <f>$C$46</f>
        <v>16.203703703703702</v>
      </c>
      <c r="E12" s="62">
        <f>C12*D12</f>
        <v>5023.1481481481478</v>
      </c>
      <c r="F12" s="72"/>
    </row>
    <row r="13" spans="1:12" ht="41.45" customHeight="1" x14ac:dyDescent="0.2">
      <c r="A13" s="57" t="s">
        <v>40</v>
      </c>
      <c r="B13" s="97"/>
      <c r="C13" s="60"/>
      <c r="D13" s="61"/>
      <c r="E13" s="62"/>
    </row>
    <row r="14" spans="1:12" ht="19.899999999999999" customHeight="1" x14ac:dyDescent="0.2">
      <c r="A14" s="59" t="s">
        <v>49</v>
      </c>
      <c r="B14" s="97" t="s">
        <v>17</v>
      </c>
      <c r="C14" s="60">
        <v>70</v>
      </c>
      <c r="D14" s="61">
        <f>$C$45</f>
        <v>19.907407407407405</v>
      </c>
      <c r="E14" s="62">
        <f>C14*D14</f>
        <v>1393.5185185185182</v>
      </c>
      <c r="I14" s="112"/>
      <c r="J14" s="55"/>
      <c r="K14" s="113"/>
      <c r="L14" s="113"/>
    </row>
    <row r="15" spans="1:12" ht="19.899999999999999" customHeight="1" x14ac:dyDescent="0.2">
      <c r="A15" s="59" t="s">
        <v>50</v>
      </c>
      <c r="B15" s="97" t="s">
        <v>17</v>
      </c>
      <c r="C15" s="60">
        <v>10</v>
      </c>
      <c r="D15" s="61">
        <f>$C$46</f>
        <v>16.203703703703702</v>
      </c>
      <c r="E15" s="62">
        <f>C15*D15</f>
        <v>162.03703703703701</v>
      </c>
      <c r="F15" s="72"/>
      <c r="I15" s="112"/>
      <c r="J15" s="55"/>
      <c r="K15" s="113"/>
      <c r="L15" s="113"/>
    </row>
    <row r="16" spans="1:12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30657.407407407401</v>
      </c>
      <c r="I16" s="112"/>
      <c r="J16" s="55"/>
      <c r="K16" s="113"/>
      <c r="L16" s="113"/>
    </row>
    <row r="17" spans="1:12" ht="24.95" customHeight="1" x14ac:dyDescent="0.2">
      <c r="A17" s="206"/>
      <c r="B17" s="207" t="s">
        <v>87</v>
      </c>
      <c r="C17" s="207"/>
      <c r="D17" s="207"/>
      <c r="E17" s="62">
        <f>H19*H22</f>
        <v>14478.11723180586</v>
      </c>
      <c r="F17" s="76"/>
      <c r="I17" s="112"/>
      <c r="J17" s="55"/>
      <c r="K17" s="113"/>
      <c r="L17" s="113"/>
    </row>
    <row r="18" spans="1:12" ht="24.95" customHeight="1" x14ac:dyDescent="0.2">
      <c r="A18" s="206"/>
      <c r="B18" s="207" t="s">
        <v>83</v>
      </c>
      <c r="C18" s="207"/>
      <c r="D18" s="207"/>
      <c r="E18" s="62">
        <v>800</v>
      </c>
      <c r="G18" s="106"/>
      <c r="I18" s="112"/>
      <c r="J18" s="55"/>
      <c r="K18" s="113"/>
      <c r="L18" s="113"/>
    </row>
    <row r="19" spans="1:12" ht="24.95" customHeight="1" x14ac:dyDescent="0.2">
      <c r="A19" s="206"/>
      <c r="B19" s="207" t="s">
        <v>57</v>
      </c>
      <c r="C19" s="207"/>
      <c r="D19" s="207"/>
      <c r="E19" s="62">
        <v>600</v>
      </c>
      <c r="G19" s="107" t="s">
        <v>94</v>
      </c>
      <c r="H19" s="108">
        <v>17262.236000000001</v>
      </c>
      <c r="I19" s="112"/>
      <c r="J19" s="55"/>
      <c r="K19" s="113"/>
      <c r="L19" s="113"/>
    </row>
    <row r="20" spans="1:12" ht="24.95" customHeight="1" x14ac:dyDescent="0.2">
      <c r="A20" s="206"/>
      <c r="B20" s="207" t="s">
        <v>20</v>
      </c>
      <c r="C20" s="207"/>
      <c r="D20" s="207"/>
      <c r="E20" s="62">
        <f>SUM(E16:E17)+E18+E19</f>
        <v>46535.524639213261</v>
      </c>
      <c r="G20" s="107" t="s">
        <v>18</v>
      </c>
      <c r="H20" s="108">
        <f>E16</f>
        <v>30657.407407407401</v>
      </c>
      <c r="I20" s="112"/>
      <c r="J20" s="55"/>
      <c r="K20" s="113"/>
      <c r="L20" s="113"/>
    </row>
    <row r="21" spans="1:12" ht="24.95" customHeight="1" x14ac:dyDescent="0.2">
      <c r="A21" s="206"/>
      <c r="B21" s="207" t="s">
        <v>21</v>
      </c>
      <c r="C21" s="207"/>
      <c r="D21" s="207"/>
      <c r="E21" s="62">
        <f>E20*0.2</f>
        <v>9307.1049278426526</v>
      </c>
      <c r="F21" s="72"/>
      <c r="G21" s="107" t="s">
        <v>91</v>
      </c>
      <c r="H21" s="108">
        <f>E16+E29</f>
        <v>36552.777777777774</v>
      </c>
      <c r="I21" s="112"/>
      <c r="J21" s="55"/>
      <c r="K21" s="113"/>
      <c r="L21" s="113"/>
    </row>
    <row r="22" spans="1:12" ht="24.95" customHeight="1" x14ac:dyDescent="0.2">
      <c r="A22" s="64" t="s">
        <v>22</v>
      </c>
      <c r="B22" s="202"/>
      <c r="C22" s="202"/>
      <c r="D22" s="202"/>
      <c r="E22" s="65">
        <f>SUM(E20:E21)</f>
        <v>55842.629567055912</v>
      </c>
      <c r="G22" s="107" t="s">
        <v>92</v>
      </c>
      <c r="H22" s="109">
        <f>H20/H21</f>
        <v>0.83871621450464817</v>
      </c>
      <c r="I22" s="112"/>
      <c r="J22" s="55"/>
      <c r="K22" s="113"/>
      <c r="L22" s="113"/>
    </row>
    <row r="23" spans="1:12" ht="24.95" customHeight="1" x14ac:dyDescent="0.2">
      <c r="A23" s="33"/>
      <c r="B23" s="34"/>
      <c r="C23" s="34"/>
      <c r="D23" s="34"/>
      <c r="E23" s="35"/>
    </row>
    <row r="24" spans="1:12" ht="24" customHeight="1" x14ac:dyDescent="0.2">
      <c r="A24" s="205" t="s">
        <v>102</v>
      </c>
      <c r="B24" s="205"/>
      <c r="C24" s="205"/>
      <c r="D24" s="205"/>
      <c r="E24" s="205"/>
    </row>
    <row r="25" spans="1:12" ht="24.95" customHeight="1" x14ac:dyDescent="0.2">
      <c r="A25" s="78" t="s">
        <v>9</v>
      </c>
      <c r="B25" s="78" t="s">
        <v>10</v>
      </c>
      <c r="C25" s="78" t="s">
        <v>11</v>
      </c>
      <c r="D25" s="78" t="s">
        <v>12</v>
      </c>
      <c r="E25" s="78" t="s">
        <v>13</v>
      </c>
    </row>
    <row r="26" spans="1:12" ht="24.95" customHeight="1" x14ac:dyDescent="0.2">
      <c r="A26" s="79" t="s">
        <v>23</v>
      </c>
      <c r="B26" s="78" t="s">
        <v>17</v>
      </c>
      <c r="C26" s="60">
        <v>252</v>
      </c>
      <c r="D26" s="61">
        <f>C48</f>
        <v>9.7222222222222214</v>
      </c>
      <c r="E26" s="62">
        <f>C26*D26</f>
        <v>2450</v>
      </c>
    </row>
    <row r="27" spans="1:12" ht="24.95" customHeight="1" x14ac:dyDescent="0.2">
      <c r="A27" s="79" t="s">
        <v>24</v>
      </c>
      <c r="B27" s="78" t="s">
        <v>17</v>
      </c>
      <c r="C27" s="60">
        <v>25</v>
      </c>
      <c r="D27" s="61">
        <f>C45</f>
        <v>19.907407407407405</v>
      </c>
      <c r="E27" s="62">
        <f>C27*D27</f>
        <v>497.68518518518511</v>
      </c>
      <c r="F27" s="72"/>
      <c r="I27" s="112"/>
      <c r="J27" s="55"/>
    </row>
    <row r="28" spans="1:12" ht="24.95" customHeight="1" x14ac:dyDescent="0.2">
      <c r="A28" s="79" t="s">
        <v>25</v>
      </c>
      <c r="B28" s="78"/>
      <c r="C28" s="68"/>
      <c r="D28" s="68"/>
      <c r="E28" s="62">
        <f>SUM(E26:E27)</f>
        <v>2947.6851851851852</v>
      </c>
      <c r="I28" s="112"/>
      <c r="J28" s="55"/>
    </row>
    <row r="29" spans="1:12" ht="24.95" customHeight="1" x14ac:dyDescent="0.2">
      <c r="A29" s="206" t="s">
        <v>86</v>
      </c>
      <c r="B29" s="207" t="s">
        <v>31</v>
      </c>
      <c r="C29" s="207"/>
      <c r="D29" s="207"/>
      <c r="E29" s="62">
        <f>2*(E26+E27)</f>
        <v>5895.3703703703704</v>
      </c>
      <c r="I29" s="112"/>
      <c r="J29" s="55"/>
    </row>
    <row r="30" spans="1:12" ht="24.95" customHeight="1" x14ac:dyDescent="0.2">
      <c r="A30" s="206"/>
      <c r="B30" s="207" t="s">
        <v>87</v>
      </c>
      <c r="C30" s="207"/>
      <c r="D30" s="207"/>
      <c r="E30" s="62">
        <f>H30*H33</f>
        <v>2784.1187681941387</v>
      </c>
      <c r="F30" s="87"/>
      <c r="G30" s="107" t="s">
        <v>94</v>
      </c>
      <c r="H30" s="108">
        <v>17262.236000000001</v>
      </c>
      <c r="I30" s="112"/>
      <c r="J30" s="55"/>
    </row>
    <row r="31" spans="1:12" ht="24.95" customHeight="1" x14ac:dyDescent="0.2">
      <c r="A31" s="206"/>
      <c r="B31" s="207" t="s">
        <v>20</v>
      </c>
      <c r="C31" s="207"/>
      <c r="D31" s="207"/>
      <c r="E31" s="62">
        <f>SUM(E29:E30)</f>
        <v>8679.4891385645096</v>
      </c>
      <c r="G31" s="107" t="s">
        <v>18</v>
      </c>
      <c r="H31" s="108">
        <f>E29</f>
        <v>5895.3703703703704</v>
      </c>
      <c r="I31" s="112"/>
      <c r="J31" s="55"/>
    </row>
    <row r="32" spans="1:12" ht="24.95" customHeight="1" x14ac:dyDescent="0.2">
      <c r="A32" s="206"/>
      <c r="B32" s="207" t="s">
        <v>21</v>
      </c>
      <c r="C32" s="207"/>
      <c r="D32" s="207"/>
      <c r="E32" s="62">
        <f>E31*0.2</f>
        <v>1735.897827712902</v>
      </c>
      <c r="G32" s="107" t="s">
        <v>91</v>
      </c>
      <c r="H32" s="108">
        <f>H21</f>
        <v>36552.777777777774</v>
      </c>
      <c r="I32" s="112"/>
      <c r="J32" s="55"/>
    </row>
    <row r="33" spans="1:10" ht="24.95" customHeight="1" x14ac:dyDescent="0.2">
      <c r="A33" s="64" t="s">
        <v>26</v>
      </c>
      <c r="B33" s="202"/>
      <c r="C33" s="202"/>
      <c r="D33" s="202"/>
      <c r="E33" s="65">
        <f>SUM(E31:E32)</f>
        <v>10415.386966277412</v>
      </c>
      <c r="G33" s="107" t="s">
        <v>92</v>
      </c>
      <c r="H33" s="109">
        <f>H31/H32</f>
        <v>0.16128378549535174</v>
      </c>
      <c r="I33" s="112"/>
      <c r="J33" s="55"/>
    </row>
    <row r="34" spans="1:10" ht="24.95" customHeight="1" x14ac:dyDescent="0.2">
      <c r="A34" s="208" t="s">
        <v>99</v>
      </c>
      <c r="B34" s="208"/>
      <c r="C34" s="208"/>
      <c r="D34" s="208"/>
      <c r="E34" s="65">
        <f>E22+E33</f>
        <v>66258.016533333328</v>
      </c>
      <c r="F34" s="69"/>
      <c r="G34" s="107" t="s">
        <v>92</v>
      </c>
      <c r="H34" s="109">
        <f>H31/H32</f>
        <v>0.16128378549535174</v>
      </c>
      <c r="I34" s="112"/>
      <c r="J34" s="55"/>
    </row>
    <row r="35" spans="1:10" x14ac:dyDescent="0.2">
      <c r="A35" s="12"/>
      <c r="E35" s="111">
        <f>E34/'2022_new'!E57</f>
        <v>0.55947713907863872</v>
      </c>
    </row>
    <row r="36" spans="1:10" x14ac:dyDescent="0.2">
      <c r="A36" s="12"/>
      <c r="E36" s="104" t="e">
        <f>E34-#REF!</f>
        <v>#REF!</v>
      </c>
    </row>
    <row r="37" spans="1:10" x14ac:dyDescent="0.2">
      <c r="A37" s="12"/>
    </row>
    <row r="38" spans="1:10" x14ac:dyDescent="0.2">
      <c r="A38" s="12"/>
      <c r="E38" s="31"/>
    </row>
    <row r="39" spans="1:10" x14ac:dyDescent="0.2">
      <c r="A39" s="12"/>
    </row>
    <row r="40" spans="1:10" x14ac:dyDescent="0.2">
      <c r="A40" s="12"/>
    </row>
    <row r="41" spans="1:10" x14ac:dyDescent="0.2">
      <c r="A41" s="12"/>
    </row>
    <row r="42" spans="1:10" x14ac:dyDescent="0.2">
      <c r="A42" s="12"/>
    </row>
    <row r="43" spans="1:10" x14ac:dyDescent="0.2">
      <c r="A43" s="12"/>
      <c r="B43" s="54"/>
      <c r="D43" s="43"/>
    </row>
    <row r="44" spans="1:10" ht="64.5" customHeight="1" x14ac:dyDescent="0.2">
      <c r="A44" s="60" t="s">
        <v>0</v>
      </c>
      <c r="B44" s="60" t="s">
        <v>1</v>
      </c>
      <c r="C44" s="60" t="s">
        <v>2</v>
      </c>
      <c r="D44" s="44" t="s">
        <v>77</v>
      </c>
      <c r="E44" s="16"/>
    </row>
    <row r="45" spans="1:10" ht="14.25" customHeight="1" x14ac:dyDescent="0.2">
      <c r="A45" s="99" t="s">
        <v>49</v>
      </c>
      <c r="B45" s="60">
        <v>430</v>
      </c>
      <c r="C45" s="61">
        <f>B45/21.6</f>
        <v>19.907407407407405</v>
      </c>
      <c r="D45" s="45">
        <v>320</v>
      </c>
      <c r="E45" s="14"/>
    </row>
    <row r="46" spans="1:10" x14ac:dyDescent="0.2">
      <c r="A46" s="99" t="s">
        <v>50</v>
      </c>
      <c r="B46" s="60">
        <v>350</v>
      </c>
      <c r="C46" s="61">
        <f>B46/21.6</f>
        <v>16.203703703703702</v>
      </c>
      <c r="D46" s="45">
        <v>290</v>
      </c>
      <c r="E46" s="14"/>
    </row>
    <row r="47" spans="1:10" x14ac:dyDescent="0.2">
      <c r="A47" s="99" t="s">
        <v>51</v>
      </c>
      <c r="B47" s="60">
        <v>280</v>
      </c>
      <c r="C47" s="61">
        <f>B47/21.6</f>
        <v>12.962962962962962</v>
      </c>
      <c r="D47" s="45">
        <v>240</v>
      </c>
      <c r="E47" s="14"/>
    </row>
    <row r="48" spans="1:10" x14ac:dyDescent="0.2">
      <c r="A48" s="99" t="s">
        <v>52</v>
      </c>
      <c r="B48" s="60">
        <v>210</v>
      </c>
      <c r="C48" s="61">
        <f>B48/21.6</f>
        <v>9.7222222222222214</v>
      </c>
      <c r="D48" s="45">
        <v>170</v>
      </c>
      <c r="E48" s="14"/>
    </row>
    <row r="49" spans="1:5" x14ac:dyDescent="0.2">
      <c r="A49" s="39"/>
      <c r="B49" s="16"/>
      <c r="C49" s="16"/>
      <c r="D49" s="44"/>
      <c r="E49" s="16"/>
    </row>
    <row r="52" spans="1:5" x14ac:dyDescent="0.2">
      <c r="A52" s="55"/>
      <c r="B52" s="54"/>
      <c r="C52" s="54"/>
      <c r="D52" s="54"/>
    </row>
    <row r="53" spans="1:5" x14ac:dyDescent="0.2">
      <c r="A53" s="55"/>
      <c r="B53" s="54"/>
      <c r="C53" s="54"/>
      <c r="D53" s="54"/>
    </row>
    <row r="54" spans="1:5" x14ac:dyDescent="0.2">
      <c r="A54" s="55"/>
      <c r="B54" s="54"/>
      <c r="C54" s="54"/>
      <c r="D54" s="54"/>
    </row>
    <row r="55" spans="1:5" x14ac:dyDescent="0.2">
      <c r="A55" s="55"/>
      <c r="B55" s="54"/>
      <c r="C55" s="54"/>
      <c r="D55" s="54"/>
    </row>
    <row r="56" spans="1:5" x14ac:dyDescent="0.2">
      <c r="A56" s="55"/>
      <c r="B56" s="54"/>
      <c r="C56" s="54"/>
      <c r="D56" s="54"/>
    </row>
    <row r="57" spans="1:5" x14ac:dyDescent="0.2">
      <c r="A57" s="55"/>
      <c r="B57" s="54"/>
      <c r="C57" s="54"/>
      <c r="D57" s="54"/>
    </row>
    <row r="58" spans="1:5" x14ac:dyDescent="0.2">
      <c r="A58" s="55"/>
      <c r="B58" s="54"/>
      <c r="C58" s="54"/>
      <c r="D58" s="54"/>
    </row>
    <row r="59" spans="1:5" x14ac:dyDescent="0.2">
      <c r="A59" s="55"/>
      <c r="B59" s="54"/>
      <c r="C59" s="54"/>
      <c r="D59" s="54"/>
    </row>
    <row r="60" spans="1:5" x14ac:dyDescent="0.2">
      <c r="A60" s="55"/>
      <c r="B60" s="54"/>
      <c r="C60" s="54"/>
      <c r="D60" s="54"/>
    </row>
    <row r="61" spans="1:5" x14ac:dyDescent="0.2">
      <c r="A61" s="55"/>
      <c r="B61" s="54"/>
      <c r="C61" s="54"/>
      <c r="D61" s="54"/>
    </row>
    <row r="62" spans="1:5" x14ac:dyDescent="0.2">
      <c r="A62" s="55"/>
      <c r="B62" s="54"/>
      <c r="C62" s="54"/>
      <c r="D62" s="54"/>
    </row>
    <row r="63" spans="1:5" x14ac:dyDescent="0.2">
      <c r="A63" s="55"/>
      <c r="B63" s="54"/>
      <c r="C63" s="54"/>
      <c r="D63" s="54"/>
    </row>
    <row r="64" spans="1:5" x14ac:dyDescent="0.2">
      <c r="A64" s="55"/>
      <c r="B64" s="54"/>
      <c r="C64" s="54"/>
      <c r="D64" s="54"/>
    </row>
    <row r="65" spans="1:4" x14ac:dyDescent="0.2">
      <c r="A65" s="55"/>
      <c r="B65" s="54"/>
      <c r="C65" s="54"/>
      <c r="D65" s="54"/>
    </row>
    <row r="66" spans="1:4" x14ac:dyDescent="0.2">
      <c r="A66" s="55"/>
      <c r="B66" s="54"/>
      <c r="C66" s="54"/>
      <c r="D66" s="54"/>
    </row>
    <row r="67" spans="1:4" x14ac:dyDescent="0.2">
      <c r="A67" s="55"/>
      <c r="B67" s="54"/>
      <c r="C67" s="54"/>
      <c r="D67" s="54"/>
    </row>
    <row r="68" spans="1:4" x14ac:dyDescent="0.2">
      <c r="A68" s="55"/>
      <c r="B68" s="54"/>
      <c r="C68" s="54"/>
      <c r="D68" s="54"/>
    </row>
    <row r="69" spans="1:4" x14ac:dyDescent="0.2">
      <c r="A69" s="55"/>
      <c r="B69" s="54"/>
      <c r="C69" s="54"/>
      <c r="D69" s="54"/>
    </row>
  </sheetData>
  <mergeCells count="18">
    <mergeCell ref="A34:D34"/>
    <mergeCell ref="B33:D33"/>
    <mergeCell ref="A24:E24"/>
    <mergeCell ref="A29:A32"/>
    <mergeCell ref="B29:D29"/>
    <mergeCell ref="B30:D30"/>
    <mergeCell ref="B31:D31"/>
    <mergeCell ref="B32:D32"/>
    <mergeCell ref="B22:D22"/>
    <mergeCell ref="A1:F1"/>
    <mergeCell ref="A2:E2"/>
    <mergeCell ref="A16:A21"/>
    <mergeCell ref="B16:D16"/>
    <mergeCell ref="B17:D17"/>
    <mergeCell ref="B18:D18"/>
    <mergeCell ref="B19:D19"/>
    <mergeCell ref="B20:D20"/>
    <mergeCell ref="B21:D21"/>
  </mergeCells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9"/>
  <sheetViews>
    <sheetView workbookViewId="0">
      <selection activeCell="I23" sqref="I23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55" bestFit="1" customWidth="1"/>
    <col min="7" max="7" width="21.140625" style="105" customWidth="1"/>
    <col min="8" max="8" width="13.85546875" style="105" customWidth="1"/>
    <col min="9" max="9" width="9.140625" style="105"/>
    <col min="10" max="10" width="9.140625" style="18"/>
    <col min="11" max="16384" width="9.140625" style="1"/>
  </cols>
  <sheetData>
    <row r="1" spans="1:12" x14ac:dyDescent="0.2">
      <c r="A1" s="201" t="s">
        <v>100</v>
      </c>
      <c r="B1" s="201"/>
      <c r="C1" s="201"/>
      <c r="D1" s="201"/>
      <c r="E1" s="201"/>
      <c r="F1" s="201"/>
    </row>
    <row r="2" spans="1:12" ht="20.100000000000001" customHeight="1" x14ac:dyDescent="0.2">
      <c r="A2" s="205" t="s">
        <v>8</v>
      </c>
      <c r="B2" s="205"/>
      <c r="C2" s="205"/>
      <c r="D2" s="205"/>
      <c r="E2" s="205"/>
    </row>
    <row r="3" spans="1:12" ht="30" customHeight="1" x14ac:dyDescent="0.2">
      <c r="A3" s="66" t="s">
        <v>9</v>
      </c>
      <c r="B3" s="66" t="s">
        <v>10</v>
      </c>
      <c r="C3" s="66" t="s">
        <v>11</v>
      </c>
      <c r="D3" s="66" t="s">
        <v>12</v>
      </c>
      <c r="E3" s="66" t="s">
        <v>13</v>
      </c>
    </row>
    <row r="4" spans="1:12" ht="30" customHeight="1" x14ac:dyDescent="0.2">
      <c r="A4" s="57" t="s">
        <v>85</v>
      </c>
      <c r="B4" s="58"/>
      <c r="C4" s="58"/>
      <c r="D4" s="58"/>
      <c r="E4" s="58"/>
    </row>
    <row r="5" spans="1:12" ht="19.899999999999999" customHeight="1" x14ac:dyDescent="0.2">
      <c r="A5" s="59" t="s">
        <v>49</v>
      </c>
      <c r="B5" s="100" t="s">
        <v>17</v>
      </c>
      <c r="C5" s="60">
        <v>275</v>
      </c>
      <c r="D5" s="61">
        <f>$C$45</f>
        <v>20.833333333333332</v>
      </c>
      <c r="E5" s="62">
        <f>C5*D5</f>
        <v>5729.1666666666661</v>
      </c>
      <c r="F5" s="76"/>
      <c r="J5" s="55"/>
    </row>
    <row r="6" spans="1:12" ht="19.899999999999999" customHeight="1" x14ac:dyDescent="0.2">
      <c r="A6" s="59" t="s">
        <v>50</v>
      </c>
      <c r="B6" s="100" t="s">
        <v>17</v>
      </c>
      <c r="C6" s="60">
        <v>95</v>
      </c>
      <c r="D6" s="61">
        <f>$C$46</f>
        <v>17.12962962962963</v>
      </c>
      <c r="E6" s="62">
        <f>C6*D6</f>
        <v>1627.3148148148148</v>
      </c>
      <c r="F6" s="72"/>
    </row>
    <row r="7" spans="1:12" ht="30" customHeight="1" x14ac:dyDescent="0.2">
      <c r="A7" s="57" t="s">
        <v>15</v>
      </c>
      <c r="B7" s="100"/>
      <c r="C7" s="60"/>
      <c r="D7" s="61"/>
      <c r="E7" s="62"/>
    </row>
    <row r="8" spans="1:12" ht="19.899999999999999" customHeight="1" x14ac:dyDescent="0.2">
      <c r="A8" s="59" t="s">
        <v>49</v>
      </c>
      <c r="B8" s="100" t="s">
        <v>17</v>
      </c>
      <c r="C8" s="60">
        <v>405</v>
      </c>
      <c r="D8" s="61">
        <f>$C$45</f>
        <v>20.833333333333332</v>
      </c>
      <c r="E8" s="62">
        <f>C8*D8</f>
        <v>8437.5</v>
      </c>
    </row>
    <row r="9" spans="1:12" ht="19.899999999999999" customHeight="1" x14ac:dyDescent="0.2">
      <c r="A9" s="59" t="s">
        <v>50</v>
      </c>
      <c r="B9" s="100" t="s">
        <v>17</v>
      </c>
      <c r="C9" s="60">
        <v>230</v>
      </c>
      <c r="D9" s="61">
        <f>$C$46</f>
        <v>17.12962962962963</v>
      </c>
      <c r="E9" s="62">
        <f>C9*D9</f>
        <v>3939.8148148148148</v>
      </c>
      <c r="F9" s="72"/>
    </row>
    <row r="10" spans="1:12" ht="50.1" customHeight="1" x14ac:dyDescent="0.2">
      <c r="A10" s="57" t="s">
        <v>16</v>
      </c>
      <c r="B10" s="100"/>
      <c r="C10" s="60"/>
      <c r="D10" s="61"/>
      <c r="E10" s="62"/>
    </row>
    <row r="11" spans="1:12" ht="19.899999999999999" customHeight="1" x14ac:dyDescent="0.2">
      <c r="A11" s="59" t="s">
        <v>49</v>
      </c>
      <c r="B11" s="100" t="s">
        <v>17</v>
      </c>
      <c r="C11" s="60">
        <v>325</v>
      </c>
      <c r="D11" s="61">
        <f>$C$45</f>
        <v>20.833333333333332</v>
      </c>
      <c r="E11" s="62">
        <f>C11*D11</f>
        <v>6770.833333333333</v>
      </c>
    </row>
    <row r="12" spans="1:12" ht="19.899999999999999" customHeight="1" x14ac:dyDescent="0.2">
      <c r="A12" s="59" t="s">
        <v>50</v>
      </c>
      <c r="B12" s="100" t="s">
        <v>17</v>
      </c>
      <c r="C12" s="60">
        <v>315</v>
      </c>
      <c r="D12" s="61">
        <f>$C$46</f>
        <v>17.12962962962963</v>
      </c>
      <c r="E12" s="62">
        <f>C12*D12</f>
        <v>5395.833333333333</v>
      </c>
      <c r="F12" s="72"/>
    </row>
    <row r="13" spans="1:12" ht="41.45" customHeight="1" x14ac:dyDescent="0.2">
      <c r="A13" s="57" t="s">
        <v>40</v>
      </c>
      <c r="B13" s="100"/>
      <c r="C13" s="60"/>
      <c r="D13" s="61"/>
      <c r="E13" s="62"/>
    </row>
    <row r="14" spans="1:12" ht="19.899999999999999" customHeight="1" x14ac:dyDescent="0.2">
      <c r="A14" s="59" t="s">
        <v>49</v>
      </c>
      <c r="B14" s="100" t="s">
        <v>17</v>
      </c>
      <c r="C14" s="60">
        <v>90</v>
      </c>
      <c r="D14" s="61">
        <f>$C$45</f>
        <v>20.833333333333332</v>
      </c>
      <c r="E14" s="62">
        <f>C14*D14</f>
        <v>1875</v>
      </c>
      <c r="J14" s="55"/>
      <c r="K14" s="113"/>
      <c r="L14" s="113"/>
    </row>
    <row r="15" spans="1:12" ht="19.899999999999999" customHeight="1" x14ac:dyDescent="0.2">
      <c r="A15" s="59" t="s">
        <v>50</v>
      </c>
      <c r="B15" s="100" t="s">
        <v>17</v>
      </c>
      <c r="C15" s="60">
        <v>20</v>
      </c>
      <c r="D15" s="61">
        <f>$C$46</f>
        <v>17.12962962962963</v>
      </c>
      <c r="E15" s="62">
        <f>C15*D15</f>
        <v>342.59259259259261</v>
      </c>
      <c r="F15" s="72"/>
      <c r="J15" s="55"/>
      <c r="K15" s="113"/>
      <c r="L15" s="113"/>
    </row>
    <row r="16" spans="1:12" ht="24.95" customHeight="1" x14ac:dyDescent="0.2">
      <c r="A16" s="206" t="s">
        <v>86</v>
      </c>
      <c r="B16" s="207" t="s">
        <v>18</v>
      </c>
      <c r="C16" s="207"/>
      <c r="D16" s="207"/>
      <c r="E16" s="62">
        <f>E5+E6+E8+E9+E11+E12+E14+E15</f>
        <v>34118.055555555555</v>
      </c>
      <c r="J16" s="55"/>
      <c r="K16" s="113"/>
      <c r="L16" s="113"/>
    </row>
    <row r="17" spans="1:12" ht="24.95" customHeight="1" x14ac:dyDescent="0.2">
      <c r="A17" s="206"/>
      <c r="B17" s="207" t="s">
        <v>87</v>
      </c>
      <c r="C17" s="207"/>
      <c r="D17" s="207"/>
      <c r="E17" s="62">
        <f>H19*H22</f>
        <v>13576.449617083948</v>
      </c>
      <c r="F17" s="76"/>
      <c r="J17" s="55"/>
      <c r="K17" s="113"/>
      <c r="L17" s="113"/>
    </row>
    <row r="18" spans="1:12" ht="24.95" customHeight="1" x14ac:dyDescent="0.2">
      <c r="A18" s="206"/>
      <c r="B18" s="207" t="s">
        <v>83</v>
      </c>
      <c r="C18" s="207"/>
      <c r="D18" s="207"/>
      <c r="E18" s="62">
        <v>800</v>
      </c>
      <c r="G18" s="106"/>
      <c r="J18" s="55"/>
      <c r="K18" s="113"/>
      <c r="L18" s="113"/>
    </row>
    <row r="19" spans="1:12" ht="24.95" customHeight="1" x14ac:dyDescent="0.2">
      <c r="A19" s="206"/>
      <c r="B19" s="207" t="s">
        <v>57</v>
      </c>
      <c r="C19" s="207"/>
      <c r="D19" s="207"/>
      <c r="E19" s="62">
        <v>600</v>
      </c>
      <c r="G19" s="107" t="s">
        <v>94</v>
      </c>
      <c r="H19" s="108">
        <v>17262.236000000001</v>
      </c>
      <c r="J19" s="55"/>
      <c r="K19" s="113"/>
      <c r="L19" s="113"/>
    </row>
    <row r="20" spans="1:12" ht="24.95" customHeight="1" x14ac:dyDescent="0.2">
      <c r="A20" s="206"/>
      <c r="B20" s="207" t="s">
        <v>20</v>
      </c>
      <c r="C20" s="207"/>
      <c r="D20" s="207"/>
      <c r="E20" s="62">
        <f>SUM(E16:E17)+E18+E19</f>
        <v>49094.505172639503</v>
      </c>
      <c r="G20" s="107" t="s">
        <v>18</v>
      </c>
      <c r="H20" s="108">
        <f>E16</f>
        <v>34118.055555555555</v>
      </c>
      <c r="J20" s="55"/>
      <c r="K20" s="113"/>
      <c r="L20" s="113"/>
    </row>
    <row r="21" spans="1:12" ht="24.95" customHeight="1" x14ac:dyDescent="0.2">
      <c r="A21" s="206"/>
      <c r="B21" s="207" t="s">
        <v>21</v>
      </c>
      <c r="C21" s="207"/>
      <c r="D21" s="207"/>
      <c r="E21" s="62">
        <f>E20*0.2</f>
        <v>9818.9010345279003</v>
      </c>
      <c r="F21" s="72"/>
      <c r="G21" s="107" t="s">
        <v>91</v>
      </c>
      <c r="H21" s="108">
        <f>E16+E29</f>
        <v>43380.555555555555</v>
      </c>
      <c r="J21" s="55"/>
      <c r="K21" s="113"/>
      <c r="L21" s="113"/>
    </row>
    <row r="22" spans="1:12" ht="24.95" customHeight="1" x14ac:dyDescent="0.2">
      <c r="A22" s="103" t="s">
        <v>22</v>
      </c>
      <c r="B22" s="202"/>
      <c r="C22" s="202"/>
      <c r="D22" s="202"/>
      <c r="E22" s="65">
        <f>SUM(E20:E21)</f>
        <v>58913.406207167405</v>
      </c>
      <c r="G22" s="107" t="s">
        <v>92</v>
      </c>
      <c r="H22" s="109">
        <f>H20/H21</f>
        <v>0.78648267913171543</v>
      </c>
      <c r="J22" s="55"/>
      <c r="K22" s="113"/>
      <c r="L22" s="113"/>
    </row>
    <row r="23" spans="1:12" ht="24.95" customHeight="1" x14ac:dyDescent="0.2">
      <c r="A23" s="33"/>
      <c r="B23" s="34"/>
      <c r="C23" s="34"/>
      <c r="D23" s="34"/>
      <c r="E23" s="35"/>
    </row>
    <row r="24" spans="1:12" ht="24" customHeight="1" x14ac:dyDescent="0.2">
      <c r="A24" s="205" t="s">
        <v>102</v>
      </c>
      <c r="B24" s="205"/>
      <c r="C24" s="205"/>
      <c r="D24" s="205"/>
      <c r="E24" s="205"/>
    </row>
    <row r="25" spans="1:12" ht="24.95" customHeight="1" x14ac:dyDescent="0.2">
      <c r="A25" s="100" t="s">
        <v>9</v>
      </c>
      <c r="B25" s="100" t="s">
        <v>10</v>
      </c>
      <c r="C25" s="100" t="s">
        <v>11</v>
      </c>
      <c r="D25" s="100" t="s">
        <v>12</v>
      </c>
      <c r="E25" s="100" t="s">
        <v>13</v>
      </c>
    </row>
    <row r="26" spans="1:12" ht="24.95" customHeight="1" x14ac:dyDescent="0.2">
      <c r="A26" s="101" t="s">
        <v>23</v>
      </c>
      <c r="B26" s="100" t="s">
        <v>17</v>
      </c>
      <c r="C26" s="60">
        <v>252</v>
      </c>
      <c r="D26" s="61">
        <f>C48</f>
        <v>10.185185185185185</v>
      </c>
      <c r="E26" s="62">
        <f>C26*D26</f>
        <v>2566.6666666666665</v>
      </c>
    </row>
    <row r="27" spans="1:12" ht="24.95" customHeight="1" x14ac:dyDescent="0.2">
      <c r="A27" s="101" t="s">
        <v>24</v>
      </c>
      <c r="B27" s="100" t="s">
        <v>17</v>
      </c>
      <c r="C27" s="60">
        <v>25</v>
      </c>
      <c r="D27" s="61">
        <f>C45</f>
        <v>20.833333333333332</v>
      </c>
      <c r="E27" s="62">
        <f>C27*D27</f>
        <v>520.83333333333326</v>
      </c>
      <c r="F27" s="72"/>
      <c r="J27" s="55"/>
    </row>
    <row r="28" spans="1:12" ht="24.95" customHeight="1" x14ac:dyDescent="0.2">
      <c r="A28" s="101" t="s">
        <v>25</v>
      </c>
      <c r="B28" s="100"/>
      <c r="C28" s="68"/>
      <c r="D28" s="68"/>
      <c r="E28" s="62">
        <f>SUM(E26:E27)</f>
        <v>3087.5</v>
      </c>
      <c r="J28" s="55"/>
    </row>
    <row r="29" spans="1:12" ht="24.95" customHeight="1" x14ac:dyDescent="0.2">
      <c r="A29" s="206" t="s">
        <v>86</v>
      </c>
      <c r="B29" s="207" t="s">
        <v>79</v>
      </c>
      <c r="C29" s="207"/>
      <c r="D29" s="207"/>
      <c r="E29" s="62">
        <f>3*(E26+E27)</f>
        <v>9262.5</v>
      </c>
      <c r="J29" s="55"/>
    </row>
    <row r="30" spans="1:12" ht="24.95" customHeight="1" x14ac:dyDescent="0.2">
      <c r="A30" s="206"/>
      <c r="B30" s="207" t="s">
        <v>87</v>
      </c>
      <c r="C30" s="207"/>
      <c r="D30" s="207"/>
      <c r="E30" s="62">
        <f>H30*H33</f>
        <v>3685.7863829160533</v>
      </c>
      <c r="F30" s="87"/>
      <c r="G30" s="107" t="s">
        <v>94</v>
      </c>
      <c r="H30" s="108">
        <v>17262.236000000001</v>
      </c>
      <c r="J30" s="55"/>
    </row>
    <row r="31" spans="1:12" ht="24.95" customHeight="1" x14ac:dyDescent="0.2">
      <c r="A31" s="206"/>
      <c r="B31" s="207" t="s">
        <v>20</v>
      </c>
      <c r="C31" s="207"/>
      <c r="D31" s="207"/>
      <c r="E31" s="62">
        <f>SUM(E29:E30)</f>
        <v>12948.286382916052</v>
      </c>
      <c r="G31" s="107" t="s">
        <v>18</v>
      </c>
      <c r="H31" s="108">
        <f>E29</f>
        <v>9262.5</v>
      </c>
      <c r="J31" s="55"/>
    </row>
    <row r="32" spans="1:12" ht="24.95" customHeight="1" x14ac:dyDescent="0.2">
      <c r="A32" s="206"/>
      <c r="B32" s="207" t="s">
        <v>21</v>
      </c>
      <c r="C32" s="207"/>
      <c r="D32" s="207"/>
      <c r="E32" s="62">
        <f>E31*0.2</f>
        <v>2589.6572765832107</v>
      </c>
      <c r="G32" s="107" t="s">
        <v>91</v>
      </c>
      <c r="H32" s="108">
        <f>H21</f>
        <v>43380.555555555555</v>
      </c>
      <c r="J32" s="55"/>
    </row>
    <row r="33" spans="1:10" ht="24.95" customHeight="1" x14ac:dyDescent="0.2">
      <c r="A33" s="103" t="s">
        <v>26</v>
      </c>
      <c r="B33" s="202"/>
      <c r="C33" s="202"/>
      <c r="D33" s="202"/>
      <c r="E33" s="65">
        <f>SUM(E31:E32)</f>
        <v>15537.943659499262</v>
      </c>
      <c r="G33" s="107" t="s">
        <v>92</v>
      </c>
      <c r="H33" s="109">
        <f>H31/H32</f>
        <v>0.21351732086828457</v>
      </c>
      <c r="J33" s="55"/>
    </row>
    <row r="34" spans="1:10" ht="24.95" customHeight="1" x14ac:dyDescent="0.2">
      <c r="A34" s="208" t="s">
        <v>101</v>
      </c>
      <c r="B34" s="208"/>
      <c r="C34" s="208"/>
      <c r="D34" s="208"/>
      <c r="E34" s="65">
        <f>E22+E33</f>
        <v>74451.349866666671</v>
      </c>
      <c r="F34" s="69"/>
      <c r="G34" s="107" t="s">
        <v>92</v>
      </c>
      <c r="H34" s="109">
        <f>H31/H32</f>
        <v>0.21351732086828457</v>
      </c>
      <c r="J34" s="55"/>
    </row>
    <row r="35" spans="1:10" x14ac:dyDescent="0.2">
      <c r="A35" s="12"/>
      <c r="E35" s="111">
        <f>E34/'2022_new'!E57</f>
        <v>0.6286609591307355</v>
      </c>
    </row>
    <row r="36" spans="1:10" x14ac:dyDescent="0.2">
      <c r="A36" s="12"/>
      <c r="E36" s="104" t="e">
        <f>E34-#REF!</f>
        <v>#REF!</v>
      </c>
    </row>
    <row r="37" spans="1:10" x14ac:dyDescent="0.2">
      <c r="A37" s="12"/>
    </row>
    <row r="38" spans="1:10" x14ac:dyDescent="0.2">
      <c r="A38" s="12"/>
      <c r="E38" s="31"/>
    </row>
    <row r="39" spans="1:10" x14ac:dyDescent="0.2">
      <c r="A39" s="12"/>
    </row>
    <row r="40" spans="1:10" x14ac:dyDescent="0.2">
      <c r="A40" s="12"/>
    </row>
    <row r="41" spans="1:10" x14ac:dyDescent="0.2">
      <c r="A41" s="12"/>
    </row>
    <row r="42" spans="1:10" x14ac:dyDescent="0.2">
      <c r="A42" s="12"/>
    </row>
    <row r="43" spans="1:10" x14ac:dyDescent="0.2">
      <c r="A43" s="12"/>
      <c r="B43" s="54"/>
      <c r="D43" s="43"/>
    </row>
    <row r="44" spans="1:10" ht="64.5" customHeight="1" x14ac:dyDescent="0.2">
      <c r="A44" s="60" t="s">
        <v>0</v>
      </c>
      <c r="B44" s="60" t="s">
        <v>1</v>
      </c>
      <c r="C44" s="60" t="s">
        <v>2</v>
      </c>
      <c r="D44" s="44" t="s">
        <v>77</v>
      </c>
      <c r="E44" s="16"/>
    </row>
    <row r="45" spans="1:10" ht="14.25" customHeight="1" x14ac:dyDescent="0.2">
      <c r="A45" s="101" t="s">
        <v>49</v>
      </c>
      <c r="B45" s="60">
        <v>450</v>
      </c>
      <c r="C45" s="61">
        <f>B45/21.6</f>
        <v>20.833333333333332</v>
      </c>
      <c r="D45" s="45">
        <v>320</v>
      </c>
      <c r="E45" s="14"/>
    </row>
    <row r="46" spans="1:10" x14ac:dyDescent="0.2">
      <c r="A46" s="101" t="s">
        <v>50</v>
      </c>
      <c r="B46" s="60">
        <v>370</v>
      </c>
      <c r="C46" s="61">
        <f>B46/21.6</f>
        <v>17.12962962962963</v>
      </c>
      <c r="D46" s="45">
        <v>290</v>
      </c>
      <c r="E46" s="14"/>
    </row>
    <row r="47" spans="1:10" x14ac:dyDescent="0.2">
      <c r="A47" s="101" t="s">
        <v>51</v>
      </c>
      <c r="B47" s="60">
        <v>290</v>
      </c>
      <c r="C47" s="61">
        <f>B47/21.6</f>
        <v>13.425925925925926</v>
      </c>
      <c r="D47" s="45">
        <v>240</v>
      </c>
      <c r="E47" s="14"/>
    </row>
    <row r="48" spans="1:10" x14ac:dyDescent="0.2">
      <c r="A48" s="101" t="s">
        <v>52</v>
      </c>
      <c r="B48" s="60">
        <v>220</v>
      </c>
      <c r="C48" s="61">
        <f>B48/21.6</f>
        <v>10.185185185185185</v>
      </c>
      <c r="D48" s="45">
        <v>170</v>
      </c>
      <c r="E48" s="14"/>
    </row>
    <row r="49" spans="1:5" x14ac:dyDescent="0.2">
      <c r="A49" s="39"/>
      <c r="B49" s="16"/>
      <c r="C49" s="16"/>
      <c r="D49" s="44"/>
      <c r="E49" s="16"/>
    </row>
    <row r="52" spans="1:5" x14ac:dyDescent="0.2">
      <c r="A52" s="55"/>
      <c r="B52" s="54"/>
      <c r="C52" s="54"/>
      <c r="D52" s="54"/>
    </row>
    <row r="53" spans="1:5" x14ac:dyDescent="0.2">
      <c r="A53" s="55"/>
      <c r="B53" s="54"/>
      <c r="C53" s="54"/>
      <c r="D53" s="54"/>
    </row>
    <row r="54" spans="1:5" x14ac:dyDescent="0.2">
      <c r="A54" s="55"/>
      <c r="B54" s="54"/>
      <c r="C54" s="54"/>
      <c r="D54" s="54"/>
    </row>
    <row r="55" spans="1:5" x14ac:dyDescent="0.2">
      <c r="A55" s="55"/>
      <c r="B55" s="54"/>
      <c r="C55" s="54"/>
      <c r="D55" s="54"/>
    </row>
    <row r="56" spans="1:5" x14ac:dyDescent="0.2">
      <c r="A56" s="55"/>
      <c r="B56" s="54"/>
      <c r="C56" s="54"/>
      <c r="D56" s="54"/>
    </row>
    <row r="57" spans="1:5" x14ac:dyDescent="0.2">
      <c r="A57" s="55"/>
      <c r="B57" s="54"/>
      <c r="C57" s="54"/>
      <c r="D57" s="54"/>
    </row>
    <row r="58" spans="1:5" x14ac:dyDescent="0.2">
      <c r="A58" s="55"/>
      <c r="B58" s="54"/>
      <c r="C58" s="54"/>
      <c r="D58" s="54"/>
    </row>
    <row r="59" spans="1:5" x14ac:dyDescent="0.2">
      <c r="A59" s="55"/>
      <c r="B59" s="54"/>
      <c r="C59" s="54"/>
      <c r="D59" s="54"/>
    </row>
    <row r="60" spans="1:5" x14ac:dyDescent="0.2">
      <c r="A60" s="55"/>
      <c r="B60" s="54"/>
      <c r="C60" s="54"/>
      <c r="D60" s="54"/>
    </row>
    <row r="61" spans="1:5" x14ac:dyDescent="0.2">
      <c r="A61" s="55"/>
      <c r="B61" s="54"/>
      <c r="C61" s="54"/>
      <c r="D61" s="54"/>
    </row>
    <row r="62" spans="1:5" x14ac:dyDescent="0.2">
      <c r="A62" s="55"/>
      <c r="B62" s="54"/>
      <c r="C62" s="54"/>
      <c r="D62" s="54"/>
    </row>
    <row r="63" spans="1:5" x14ac:dyDescent="0.2">
      <c r="A63" s="55"/>
      <c r="B63" s="54"/>
      <c r="C63" s="54"/>
      <c r="D63" s="54"/>
    </row>
    <row r="64" spans="1:5" x14ac:dyDescent="0.2">
      <c r="A64" s="55"/>
      <c r="B64" s="54"/>
      <c r="C64" s="54"/>
      <c r="D64" s="54"/>
    </row>
    <row r="65" spans="1:4" x14ac:dyDescent="0.2">
      <c r="A65" s="55"/>
      <c r="B65" s="54"/>
      <c r="C65" s="54"/>
      <c r="D65" s="54"/>
    </row>
    <row r="66" spans="1:4" x14ac:dyDescent="0.2">
      <c r="A66" s="55"/>
      <c r="B66" s="54"/>
      <c r="C66" s="54"/>
      <c r="D66" s="54"/>
    </row>
    <row r="67" spans="1:4" x14ac:dyDescent="0.2">
      <c r="A67" s="55"/>
      <c r="B67" s="54"/>
      <c r="C67" s="54"/>
      <c r="D67" s="54"/>
    </row>
    <row r="68" spans="1:4" x14ac:dyDescent="0.2">
      <c r="A68" s="55"/>
      <c r="B68" s="54"/>
      <c r="C68" s="54"/>
      <c r="D68" s="54"/>
    </row>
    <row r="69" spans="1:4" x14ac:dyDescent="0.2">
      <c r="A69" s="55"/>
      <c r="B69" s="54"/>
      <c r="C69" s="54"/>
      <c r="D69" s="54"/>
    </row>
  </sheetData>
  <mergeCells count="18">
    <mergeCell ref="B33:D33"/>
    <mergeCell ref="A34:D34"/>
    <mergeCell ref="B22:D22"/>
    <mergeCell ref="A24:E24"/>
    <mergeCell ref="A29:A32"/>
    <mergeCell ref="B29:D29"/>
    <mergeCell ref="B30:D30"/>
    <mergeCell ref="B31:D31"/>
    <mergeCell ref="B32:D32"/>
    <mergeCell ref="A1:F1"/>
    <mergeCell ref="A2:E2"/>
    <mergeCell ref="A16:A21"/>
    <mergeCell ref="B16:D16"/>
    <mergeCell ref="B17:D17"/>
    <mergeCell ref="B18:D18"/>
    <mergeCell ref="B19:D19"/>
    <mergeCell ref="B20:D20"/>
    <mergeCell ref="B21:D21"/>
  </mergeCells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8"/>
  <sheetViews>
    <sheetView topLeftCell="A33" workbookViewId="0">
      <selection activeCell="B54" sqref="B54"/>
    </sheetView>
  </sheetViews>
  <sheetFormatPr defaultRowHeight="12.75" x14ac:dyDescent="0.2"/>
  <cols>
    <col min="1" max="1" width="35.140625" style="18" customWidth="1"/>
    <col min="2" max="2" width="11.7109375" style="12" customWidth="1"/>
    <col min="3" max="3" width="13.85546875" style="12" customWidth="1"/>
    <col min="4" max="4" width="13.42578125" style="12" customWidth="1"/>
    <col min="5" max="5" width="15.7109375" style="12" customWidth="1"/>
    <col min="6" max="6" width="11.5703125" style="42" bestFit="1" customWidth="1"/>
    <col min="7" max="7" width="21.140625" style="105" customWidth="1"/>
    <col min="8" max="8" width="13.85546875" style="105" customWidth="1"/>
    <col min="9" max="9" width="11.5703125" style="105" bestFit="1" customWidth="1"/>
    <col min="10" max="10" width="11.5703125" style="18" bestFit="1" customWidth="1"/>
    <col min="11" max="16384" width="9.140625" style="1"/>
  </cols>
  <sheetData>
    <row r="1" spans="1:12" x14ac:dyDescent="0.2">
      <c r="A1" s="209" t="s">
        <v>104</v>
      </c>
      <c r="B1" s="209"/>
      <c r="C1" s="209"/>
      <c r="D1" s="209"/>
      <c r="E1" s="209"/>
      <c r="F1" s="209"/>
    </row>
    <row r="2" spans="1:12" ht="20.100000000000001" customHeight="1" x14ac:dyDescent="0.2">
      <c r="A2" s="210" t="s">
        <v>8</v>
      </c>
      <c r="B2" s="210"/>
      <c r="C2" s="210"/>
      <c r="D2" s="210"/>
      <c r="E2" s="210"/>
      <c r="F2" s="149"/>
    </row>
    <row r="3" spans="1:12" ht="30" customHeight="1" x14ac:dyDescent="0.2">
      <c r="A3" s="150" t="s">
        <v>9</v>
      </c>
      <c r="B3" s="150" t="s">
        <v>10</v>
      </c>
      <c r="C3" s="150" t="s">
        <v>11</v>
      </c>
      <c r="D3" s="150" t="s">
        <v>12</v>
      </c>
      <c r="E3" s="150" t="s">
        <v>13</v>
      </c>
      <c r="F3" s="149"/>
    </row>
    <row r="4" spans="1:12" ht="30" customHeight="1" x14ac:dyDescent="0.2">
      <c r="A4" s="151" t="s">
        <v>85</v>
      </c>
      <c r="B4" s="152"/>
      <c r="C4" s="152"/>
      <c r="D4" s="152"/>
      <c r="E4" s="152"/>
      <c r="F4" s="149"/>
      <c r="G4" s="112"/>
      <c r="H4" s="112"/>
      <c r="I4" s="112"/>
      <c r="J4" s="55"/>
      <c r="K4" s="113"/>
      <c r="L4" s="113"/>
    </row>
    <row r="5" spans="1:12" ht="19.899999999999999" customHeight="1" x14ac:dyDescent="0.2">
      <c r="A5" s="153" t="s">
        <v>49</v>
      </c>
      <c r="B5" s="154" t="s">
        <v>17</v>
      </c>
      <c r="C5" s="75">
        <v>240</v>
      </c>
      <c r="D5" s="155">
        <f>$C$54</f>
        <v>23.148148148148145</v>
      </c>
      <c r="E5" s="156">
        <f>C5*D5</f>
        <v>5555.5555555555547</v>
      </c>
      <c r="F5" s="157"/>
      <c r="G5" s="112"/>
      <c r="H5" s="112"/>
      <c r="I5" s="112"/>
      <c r="J5" s="55"/>
      <c r="K5" s="113"/>
      <c r="L5" s="113"/>
    </row>
    <row r="6" spans="1:12" ht="19.899999999999999" customHeight="1" x14ac:dyDescent="0.2">
      <c r="A6" s="153" t="s">
        <v>50</v>
      </c>
      <c r="B6" s="154" t="s">
        <v>17</v>
      </c>
      <c r="C6" s="75">
        <v>80</v>
      </c>
      <c r="D6" s="155">
        <f>$C$55</f>
        <v>17.592592592592592</v>
      </c>
      <c r="E6" s="156">
        <f>C6*D6</f>
        <v>1407.4074074074074</v>
      </c>
      <c r="F6" s="158"/>
      <c r="G6" s="112"/>
      <c r="H6" s="112"/>
      <c r="I6" s="112"/>
      <c r="J6" s="55"/>
      <c r="K6" s="113"/>
      <c r="L6" s="113"/>
    </row>
    <row r="7" spans="1:12" ht="30" customHeight="1" x14ac:dyDescent="0.2">
      <c r="A7" s="151" t="s">
        <v>15</v>
      </c>
      <c r="B7" s="154"/>
      <c r="C7" s="75"/>
      <c r="D7" s="155"/>
      <c r="E7" s="156"/>
      <c r="F7" s="149"/>
      <c r="G7" s="112"/>
      <c r="H7" s="112"/>
      <c r="I7" s="112"/>
      <c r="J7" s="55"/>
      <c r="K7" s="113"/>
      <c r="L7" s="113"/>
    </row>
    <row r="8" spans="1:12" ht="19.899999999999999" customHeight="1" x14ac:dyDescent="0.2">
      <c r="A8" s="153" t="s">
        <v>49</v>
      </c>
      <c r="B8" s="154" t="s">
        <v>17</v>
      </c>
      <c r="C8" s="75">
        <v>350</v>
      </c>
      <c r="D8" s="155">
        <f>$C$54</f>
        <v>23.148148148148145</v>
      </c>
      <c r="E8" s="156">
        <f>C8*D8</f>
        <v>8101.8518518518513</v>
      </c>
      <c r="F8" s="149"/>
      <c r="G8" s="112"/>
      <c r="H8" s="112"/>
      <c r="I8" s="112"/>
      <c r="J8" s="55"/>
      <c r="K8" s="113"/>
      <c r="L8" s="113"/>
    </row>
    <row r="9" spans="1:12" ht="19.899999999999999" customHeight="1" x14ac:dyDescent="0.2">
      <c r="A9" s="153" t="s">
        <v>50</v>
      </c>
      <c r="B9" s="154" t="s">
        <v>17</v>
      </c>
      <c r="C9" s="75">
        <v>180</v>
      </c>
      <c r="D9" s="155">
        <f>$C$55</f>
        <v>17.592592592592592</v>
      </c>
      <c r="E9" s="156">
        <f>C9*D9</f>
        <v>3166.6666666666665</v>
      </c>
      <c r="F9" s="158"/>
      <c r="J9" s="55"/>
      <c r="K9" s="113"/>
      <c r="L9" s="113"/>
    </row>
    <row r="10" spans="1:12" ht="50.1" customHeight="1" x14ac:dyDescent="0.2">
      <c r="A10" s="151" t="s">
        <v>16</v>
      </c>
      <c r="B10" s="154"/>
      <c r="C10" s="75"/>
      <c r="D10" s="155"/>
      <c r="E10" s="156"/>
      <c r="F10" s="149"/>
      <c r="J10" s="55"/>
      <c r="K10" s="113"/>
      <c r="L10" s="113"/>
    </row>
    <row r="11" spans="1:12" ht="19.899999999999999" customHeight="1" x14ac:dyDescent="0.2">
      <c r="A11" s="153" t="s">
        <v>49</v>
      </c>
      <c r="B11" s="154" t="s">
        <v>17</v>
      </c>
      <c r="C11" s="75">
        <v>275</v>
      </c>
      <c r="D11" s="155">
        <f>$C$54</f>
        <v>23.148148148148145</v>
      </c>
      <c r="E11" s="156">
        <f>C11*D11</f>
        <v>6365.74074074074</v>
      </c>
      <c r="F11" s="149"/>
      <c r="J11" s="55"/>
      <c r="K11" s="113"/>
      <c r="L11" s="113"/>
    </row>
    <row r="12" spans="1:12" ht="19.899999999999999" customHeight="1" x14ac:dyDescent="0.2">
      <c r="A12" s="153" t="s">
        <v>50</v>
      </c>
      <c r="B12" s="154" t="s">
        <v>17</v>
      </c>
      <c r="C12" s="75">
        <v>275</v>
      </c>
      <c r="D12" s="155">
        <f>$C$55</f>
        <v>17.592592592592592</v>
      </c>
      <c r="E12" s="156">
        <f>C12*D12</f>
        <v>4837.9629629629626</v>
      </c>
      <c r="F12" s="158"/>
      <c r="J12" s="55"/>
      <c r="K12" s="113"/>
      <c r="L12" s="113"/>
    </row>
    <row r="13" spans="1:12" ht="61.15" customHeight="1" x14ac:dyDescent="0.2">
      <c r="A13" s="151" t="s">
        <v>137</v>
      </c>
      <c r="B13" s="154"/>
      <c r="C13" s="75"/>
      <c r="D13" s="155"/>
      <c r="E13" s="156"/>
      <c r="F13" s="149"/>
      <c r="J13" s="55"/>
      <c r="K13" s="113"/>
      <c r="L13" s="113"/>
    </row>
    <row r="14" spans="1:12" ht="19.899999999999999" customHeight="1" x14ac:dyDescent="0.2">
      <c r="A14" s="153" t="s">
        <v>49</v>
      </c>
      <c r="B14" s="154" t="s">
        <v>17</v>
      </c>
      <c r="C14" s="75">
        <v>63</v>
      </c>
      <c r="D14" s="155">
        <f>$C$54</f>
        <v>23.148148148148145</v>
      </c>
      <c r="E14" s="156">
        <f>C14*D14</f>
        <v>1458.3333333333333</v>
      </c>
      <c r="F14" s="149"/>
      <c r="H14" s="110">
        <f>E14+'Overhead-NRSC'!G25</f>
        <v>1458.3333333333333</v>
      </c>
      <c r="J14" s="55"/>
      <c r="K14" s="113"/>
      <c r="L14" s="113"/>
    </row>
    <row r="15" spans="1:12" ht="19.899999999999999" customHeight="1" x14ac:dyDescent="0.2">
      <c r="A15" s="153" t="s">
        <v>50</v>
      </c>
      <c r="B15" s="154" t="s">
        <v>17</v>
      </c>
      <c r="C15" s="75">
        <v>0</v>
      </c>
      <c r="D15" s="155">
        <f>$C$55</f>
        <v>17.592592592592592</v>
      </c>
      <c r="E15" s="156">
        <f>C15*D15</f>
        <v>0</v>
      </c>
      <c r="F15" s="158"/>
      <c r="J15" s="55"/>
      <c r="K15" s="113"/>
      <c r="L15" s="113"/>
    </row>
    <row r="16" spans="1:12" ht="61.15" customHeight="1" x14ac:dyDescent="0.2">
      <c r="A16" s="151" t="s">
        <v>138</v>
      </c>
      <c r="B16" s="154"/>
      <c r="C16" s="75"/>
      <c r="D16" s="155"/>
      <c r="E16" s="156"/>
      <c r="F16" s="149"/>
      <c r="J16" s="55"/>
      <c r="K16" s="113"/>
      <c r="L16" s="113"/>
    </row>
    <row r="17" spans="1:12" ht="19.899999999999999" customHeight="1" x14ac:dyDescent="0.2">
      <c r="A17" s="153" t="s">
        <v>49</v>
      </c>
      <c r="B17" s="154" t="s">
        <v>17</v>
      </c>
      <c r="C17" s="75">
        <v>63</v>
      </c>
      <c r="D17" s="155">
        <f>$C$54</f>
        <v>23.148148148148145</v>
      </c>
      <c r="E17" s="156">
        <f>C17*D17</f>
        <v>1458.3333333333333</v>
      </c>
      <c r="F17" s="149"/>
      <c r="H17" s="110">
        <f>E17+'Overhead-NRSC'!G29</f>
        <v>1458.3333333333333</v>
      </c>
      <c r="J17" s="55"/>
      <c r="K17" s="113"/>
      <c r="L17" s="113"/>
    </row>
    <row r="18" spans="1:12" ht="19.899999999999999" customHeight="1" x14ac:dyDescent="0.2">
      <c r="A18" s="153" t="s">
        <v>50</v>
      </c>
      <c r="B18" s="154" t="s">
        <v>17</v>
      </c>
      <c r="C18" s="75">
        <v>0</v>
      </c>
      <c r="D18" s="155">
        <f>$C$55</f>
        <v>17.592592592592592</v>
      </c>
      <c r="E18" s="156">
        <f>C18*D18</f>
        <v>0</v>
      </c>
      <c r="F18" s="158"/>
      <c r="J18" s="55"/>
      <c r="K18" s="113"/>
      <c r="L18" s="113"/>
    </row>
    <row r="19" spans="1:12" ht="45" customHeight="1" x14ac:dyDescent="0.2">
      <c r="A19" s="151" t="s">
        <v>139</v>
      </c>
      <c r="B19" s="154"/>
      <c r="C19" s="75"/>
      <c r="D19" s="155"/>
      <c r="E19" s="156"/>
      <c r="F19" s="149"/>
      <c r="J19" s="55"/>
      <c r="K19" s="113"/>
      <c r="L19" s="113"/>
    </row>
    <row r="20" spans="1:12" ht="19.899999999999999" customHeight="1" x14ac:dyDescent="0.2">
      <c r="A20" s="153" t="s">
        <v>49</v>
      </c>
      <c r="B20" s="154" t="s">
        <v>17</v>
      </c>
      <c r="C20" s="75">
        <v>63</v>
      </c>
      <c r="D20" s="155">
        <f>$C$54</f>
        <v>23.148148148148145</v>
      </c>
      <c r="E20" s="156">
        <f>C20*D20</f>
        <v>1458.3333333333333</v>
      </c>
      <c r="F20" s="149"/>
      <c r="H20" s="110">
        <f>E20+'Overhead-NRSC'!G32</f>
        <v>1458.3333333333333</v>
      </c>
      <c r="J20" s="55"/>
      <c r="K20" s="113"/>
      <c r="L20" s="113"/>
    </row>
    <row r="21" spans="1:12" ht="19.899999999999999" customHeight="1" x14ac:dyDescent="0.2">
      <c r="A21" s="153" t="s">
        <v>50</v>
      </c>
      <c r="B21" s="154" t="s">
        <v>17</v>
      </c>
      <c r="C21" s="75">
        <v>0</v>
      </c>
      <c r="D21" s="155">
        <f>$C$55</f>
        <v>17.592592592592592</v>
      </c>
      <c r="E21" s="156">
        <f>C21*D21</f>
        <v>0</v>
      </c>
      <c r="F21" s="158"/>
      <c r="J21" s="42"/>
      <c r="K21" s="46"/>
      <c r="L21" s="113"/>
    </row>
    <row r="22" spans="1:12" ht="45.6" customHeight="1" x14ac:dyDescent="0.2">
      <c r="A22" s="151" t="s">
        <v>140</v>
      </c>
      <c r="B22" s="154"/>
      <c r="C22" s="75"/>
      <c r="D22" s="155"/>
      <c r="E22" s="156"/>
      <c r="F22" s="149"/>
      <c r="J22" s="42"/>
      <c r="K22" s="46"/>
      <c r="L22" s="113"/>
    </row>
    <row r="23" spans="1:12" ht="19.899999999999999" customHeight="1" x14ac:dyDescent="0.2">
      <c r="A23" s="153" t="s">
        <v>49</v>
      </c>
      <c r="B23" s="154" t="s">
        <v>17</v>
      </c>
      <c r="C23" s="75">
        <v>63</v>
      </c>
      <c r="D23" s="155">
        <f>$C$54</f>
        <v>23.148148148148145</v>
      </c>
      <c r="E23" s="156">
        <f>C23*D23</f>
        <v>1458.3333333333333</v>
      </c>
      <c r="F23" s="149"/>
      <c r="H23" s="110">
        <f>E23+'Overhead-NRSC'!G35</f>
        <v>1458.3333333333333</v>
      </c>
      <c r="J23" s="42"/>
      <c r="K23" s="46"/>
      <c r="L23" s="113"/>
    </row>
    <row r="24" spans="1:12" ht="19.899999999999999" customHeight="1" x14ac:dyDescent="0.2">
      <c r="A24" s="153" t="s">
        <v>50</v>
      </c>
      <c r="B24" s="154" t="s">
        <v>17</v>
      </c>
      <c r="C24" s="75">
        <v>0</v>
      </c>
      <c r="D24" s="155">
        <f>$C$55</f>
        <v>17.592592592592592</v>
      </c>
      <c r="E24" s="156">
        <f>C24*D24</f>
        <v>0</v>
      </c>
      <c r="F24" s="158"/>
      <c r="J24" s="42"/>
      <c r="K24" s="46"/>
      <c r="L24" s="113"/>
    </row>
    <row r="25" spans="1:12" ht="24.95" customHeight="1" x14ac:dyDescent="0.2">
      <c r="A25" s="211" t="s">
        <v>86</v>
      </c>
      <c r="B25" s="212" t="s">
        <v>18</v>
      </c>
      <c r="C25" s="212"/>
      <c r="D25" s="212"/>
      <c r="E25" s="156">
        <f>E5+E6+E8+E9+E11+E12+E14+E15+E17+E18+E20+E21+E23+E24</f>
        <v>35268.518518518518</v>
      </c>
      <c r="F25" s="149"/>
      <c r="J25" s="42"/>
      <c r="K25" s="46"/>
      <c r="L25" s="113"/>
    </row>
    <row r="26" spans="1:12" ht="24.95" customHeight="1" x14ac:dyDescent="0.2">
      <c r="A26" s="211"/>
      <c r="B26" s="212" t="s">
        <v>87</v>
      </c>
      <c r="C26" s="212"/>
      <c r="D26" s="212"/>
      <c r="E26" s="156">
        <f>H28*H31</f>
        <v>16542.199166444032</v>
      </c>
      <c r="F26" s="157"/>
      <c r="J26" s="42"/>
      <c r="K26" s="46"/>
      <c r="L26" s="113"/>
    </row>
    <row r="27" spans="1:12" ht="24.95" customHeight="1" x14ac:dyDescent="0.2">
      <c r="A27" s="211"/>
      <c r="B27" s="212" t="s">
        <v>83</v>
      </c>
      <c r="C27" s="212"/>
      <c r="D27" s="212"/>
      <c r="E27" s="156">
        <v>800</v>
      </c>
      <c r="F27" s="149"/>
      <c r="G27" s="106"/>
      <c r="J27" s="42"/>
      <c r="K27" s="46"/>
      <c r="L27" s="113"/>
    </row>
    <row r="28" spans="1:12" ht="24.95" customHeight="1" x14ac:dyDescent="0.2">
      <c r="A28" s="211"/>
      <c r="B28" s="212" t="s">
        <v>57</v>
      </c>
      <c r="C28" s="212"/>
      <c r="D28" s="212"/>
      <c r="E28" s="156">
        <v>600</v>
      </c>
      <c r="F28" s="149"/>
      <c r="G28" s="107" t="s">
        <v>94</v>
      </c>
      <c r="H28" s="108">
        <f>'Overhead-NRSC'!E27</f>
        <v>21132.236000000001</v>
      </c>
      <c r="J28" s="42"/>
      <c r="K28" s="46"/>
      <c r="L28" s="113"/>
    </row>
    <row r="29" spans="1:12" ht="24.95" customHeight="1" x14ac:dyDescent="0.2">
      <c r="A29" s="211"/>
      <c r="B29" s="212" t="s">
        <v>20</v>
      </c>
      <c r="C29" s="212"/>
      <c r="D29" s="212"/>
      <c r="E29" s="156">
        <f>SUM(E25:E26)+E27+E28</f>
        <v>53210.717684962554</v>
      </c>
      <c r="F29" s="149"/>
      <c r="G29" s="107" t="s">
        <v>18</v>
      </c>
      <c r="H29" s="108">
        <f>E25</f>
        <v>35268.518518518518</v>
      </c>
      <c r="J29" s="42"/>
      <c r="K29" s="46"/>
      <c r="L29" s="113"/>
    </row>
    <row r="30" spans="1:12" ht="24.95" customHeight="1" x14ac:dyDescent="0.2">
      <c r="A30" s="211"/>
      <c r="B30" s="212" t="s">
        <v>21</v>
      </c>
      <c r="C30" s="212"/>
      <c r="D30" s="212"/>
      <c r="E30" s="156">
        <f>E29*0.2</f>
        <v>10642.143536992511</v>
      </c>
      <c r="F30" s="158"/>
      <c r="G30" s="107" t="s">
        <v>91</v>
      </c>
      <c r="H30" s="108">
        <f>E25+E38</f>
        <v>45054.629629629628</v>
      </c>
      <c r="J30" s="42"/>
      <c r="K30" s="46"/>
      <c r="L30" s="113"/>
    </row>
    <row r="31" spans="1:12" ht="24.95" customHeight="1" x14ac:dyDescent="0.2">
      <c r="A31" s="160" t="s">
        <v>22</v>
      </c>
      <c r="B31" s="213"/>
      <c r="C31" s="213"/>
      <c r="D31" s="213"/>
      <c r="E31" s="161">
        <f>SUM(E29:E30)</f>
        <v>63852.861221955063</v>
      </c>
      <c r="F31" s="149"/>
      <c r="G31" s="107" t="s">
        <v>92</v>
      </c>
      <c r="H31" s="109">
        <f>H29/H30</f>
        <v>0.78279454982634256</v>
      </c>
      <c r="J31" s="42"/>
      <c r="K31" s="46"/>
      <c r="L31" s="113"/>
    </row>
    <row r="32" spans="1:12" ht="24.95" customHeight="1" x14ac:dyDescent="0.2">
      <c r="A32" s="162"/>
      <c r="B32" s="163"/>
      <c r="C32" s="163"/>
      <c r="D32" s="163"/>
      <c r="E32" s="164"/>
      <c r="F32" s="149"/>
      <c r="J32" s="42"/>
      <c r="K32" s="46"/>
      <c r="L32" s="113"/>
    </row>
    <row r="33" spans="1:14" ht="24" customHeight="1" x14ac:dyDescent="0.2">
      <c r="A33" s="210" t="s">
        <v>102</v>
      </c>
      <c r="B33" s="210"/>
      <c r="C33" s="210"/>
      <c r="D33" s="210"/>
      <c r="E33" s="210"/>
      <c r="F33" s="149"/>
      <c r="J33" s="42"/>
      <c r="K33" s="46"/>
      <c r="L33" s="113"/>
    </row>
    <row r="34" spans="1:14" ht="24.95" customHeight="1" x14ac:dyDescent="0.2">
      <c r="A34" s="154" t="s">
        <v>9</v>
      </c>
      <c r="B34" s="154" t="s">
        <v>10</v>
      </c>
      <c r="C34" s="154" t="s">
        <v>11</v>
      </c>
      <c r="D34" s="154" t="s">
        <v>12</v>
      </c>
      <c r="E34" s="154" t="s">
        <v>13</v>
      </c>
      <c r="F34" s="149"/>
      <c r="J34" s="42"/>
      <c r="K34" s="46"/>
      <c r="L34" s="113"/>
    </row>
    <row r="35" spans="1:14" ht="24.95" customHeight="1" x14ac:dyDescent="0.2">
      <c r="A35" s="159" t="s">
        <v>23</v>
      </c>
      <c r="B35" s="154" t="s">
        <v>17</v>
      </c>
      <c r="C35" s="75">
        <v>252</v>
      </c>
      <c r="D35" s="155">
        <f>C57</f>
        <v>10.648148148148147</v>
      </c>
      <c r="E35" s="156">
        <f>C35*D35</f>
        <v>2683.333333333333</v>
      </c>
      <c r="F35" s="149"/>
      <c r="J35" s="42"/>
      <c r="K35" s="46"/>
      <c r="L35" s="113"/>
    </row>
    <row r="36" spans="1:14" ht="24.95" customHeight="1" x14ac:dyDescent="0.2">
      <c r="A36" s="159" t="s">
        <v>24</v>
      </c>
      <c r="B36" s="154" t="s">
        <v>17</v>
      </c>
      <c r="C36" s="75">
        <v>25</v>
      </c>
      <c r="D36" s="155">
        <f>C54</f>
        <v>23.148148148148145</v>
      </c>
      <c r="E36" s="156">
        <f>C36*D36</f>
        <v>578.70370370370358</v>
      </c>
      <c r="F36" s="158"/>
      <c r="J36" s="42"/>
      <c r="K36" s="46"/>
      <c r="L36" s="113"/>
    </row>
    <row r="37" spans="1:14" ht="24.95" customHeight="1" x14ac:dyDescent="0.2">
      <c r="A37" s="159" t="s">
        <v>25</v>
      </c>
      <c r="B37" s="154"/>
      <c r="C37" s="165"/>
      <c r="D37" s="165"/>
      <c r="E37" s="156">
        <f>SUM(E35:E36)</f>
        <v>3262.0370370370365</v>
      </c>
      <c r="F37" s="149"/>
      <c r="J37" s="42"/>
      <c r="K37" s="46"/>
      <c r="L37" s="113"/>
    </row>
    <row r="38" spans="1:14" ht="24.95" customHeight="1" x14ac:dyDescent="0.2">
      <c r="A38" s="211" t="s">
        <v>86</v>
      </c>
      <c r="B38" s="212" t="s">
        <v>79</v>
      </c>
      <c r="C38" s="212"/>
      <c r="D38" s="212"/>
      <c r="E38" s="156">
        <f>3*(E35+E36)</f>
        <v>9786.1111111111095</v>
      </c>
      <c r="F38" s="149"/>
      <c r="J38" s="42"/>
      <c r="K38" s="46"/>
      <c r="L38" s="113"/>
    </row>
    <row r="39" spans="1:14" ht="24.95" customHeight="1" x14ac:dyDescent="0.2">
      <c r="A39" s="211"/>
      <c r="B39" s="212" t="s">
        <v>87</v>
      </c>
      <c r="C39" s="212"/>
      <c r="D39" s="212"/>
      <c r="E39" s="156">
        <f>H39*H42</f>
        <v>4590.0368335559706</v>
      </c>
      <c r="F39" s="166"/>
      <c r="G39" s="107" t="s">
        <v>94</v>
      </c>
      <c r="H39" s="108">
        <f>'Overhead-NRSC'!E27</f>
        <v>21132.236000000001</v>
      </c>
      <c r="J39" s="42"/>
      <c r="K39" s="46"/>
      <c r="L39" s="113"/>
    </row>
    <row r="40" spans="1:14" ht="24.95" customHeight="1" x14ac:dyDescent="0.2">
      <c r="A40" s="211"/>
      <c r="B40" s="212" t="s">
        <v>20</v>
      </c>
      <c r="C40" s="212"/>
      <c r="D40" s="212"/>
      <c r="E40" s="156">
        <f>SUM(E38:E39)</f>
        <v>14376.14794466708</v>
      </c>
      <c r="F40" s="183"/>
      <c r="G40" s="107" t="s">
        <v>18</v>
      </c>
      <c r="H40" s="108">
        <f>E38</f>
        <v>9786.1111111111095</v>
      </c>
      <c r="J40" s="42"/>
      <c r="K40" s="46"/>
      <c r="L40" s="220"/>
      <c r="M40" s="220"/>
      <c r="N40" s="220"/>
    </row>
    <row r="41" spans="1:14" ht="24.95" customHeight="1" x14ac:dyDescent="0.2">
      <c r="A41" s="211"/>
      <c r="B41" s="212" t="s">
        <v>21</v>
      </c>
      <c r="C41" s="212"/>
      <c r="D41" s="212"/>
      <c r="E41" s="156">
        <f>E40*0.2</f>
        <v>2875.2295889334164</v>
      </c>
      <c r="F41" s="183"/>
      <c r="G41" s="107" t="s">
        <v>91</v>
      </c>
      <c r="H41" s="108">
        <f>H30</f>
        <v>45054.629629629628</v>
      </c>
      <c r="J41" s="42"/>
      <c r="K41" s="46"/>
      <c r="L41" s="220"/>
      <c r="M41" s="220"/>
      <c r="N41" s="220"/>
    </row>
    <row r="42" spans="1:14" ht="24.95" customHeight="1" x14ac:dyDescent="0.2">
      <c r="A42" s="160" t="s">
        <v>26</v>
      </c>
      <c r="B42" s="213"/>
      <c r="C42" s="213"/>
      <c r="D42" s="213"/>
      <c r="E42" s="161">
        <f>SUM(E40:E41)</f>
        <v>17251.377533600498</v>
      </c>
      <c r="F42" s="183"/>
      <c r="G42" s="107" t="s">
        <v>92</v>
      </c>
      <c r="H42" s="109">
        <f>H40/H41</f>
        <v>0.21720545017365747</v>
      </c>
      <c r="J42" s="42"/>
      <c r="K42" s="46"/>
      <c r="L42" s="220"/>
      <c r="M42" s="220"/>
      <c r="N42" s="220"/>
    </row>
    <row r="43" spans="1:14" ht="24.95" customHeight="1" x14ac:dyDescent="0.2">
      <c r="A43" s="214" t="s">
        <v>103</v>
      </c>
      <c r="B43" s="214"/>
      <c r="C43" s="214"/>
      <c r="D43" s="214"/>
      <c r="E43" s="161">
        <f>E31+E42</f>
        <v>81104.238755555562</v>
      </c>
      <c r="F43" s="221"/>
      <c r="G43" s="107" t="s">
        <v>92</v>
      </c>
      <c r="H43" s="109">
        <f>H40/H41</f>
        <v>0.21720545017365747</v>
      </c>
      <c r="J43" s="42"/>
      <c r="K43" s="46"/>
      <c r="L43" s="220"/>
      <c r="M43" s="220"/>
      <c r="N43" s="220"/>
    </row>
    <row r="44" spans="1:14" x14ac:dyDescent="0.2">
      <c r="A44" s="167"/>
      <c r="B44" s="167"/>
      <c r="C44" s="167"/>
      <c r="D44" s="167"/>
      <c r="E44" s="168">
        <f>E43/'2022_new'!E57</f>
        <v>0.68483739538567645</v>
      </c>
      <c r="F44" s="183"/>
      <c r="J44" s="42"/>
      <c r="K44" s="46"/>
      <c r="L44" s="220"/>
      <c r="M44" s="220"/>
      <c r="N44" s="220"/>
    </row>
    <row r="45" spans="1:14" x14ac:dyDescent="0.2">
      <c r="A45" s="167"/>
      <c r="B45" s="167"/>
      <c r="C45" s="167"/>
      <c r="D45" s="167"/>
      <c r="E45" s="172">
        <f>E43/'2024_NRSC'!E34</f>
        <v>1.08935887530318</v>
      </c>
      <c r="F45" s="183"/>
      <c r="J45" s="42"/>
      <c r="K45" s="46"/>
      <c r="L45" s="220"/>
      <c r="M45" s="220"/>
      <c r="N45" s="220"/>
    </row>
    <row r="46" spans="1:14" x14ac:dyDescent="0.2">
      <c r="A46" s="167"/>
      <c r="B46" s="167"/>
      <c r="C46" s="167"/>
      <c r="D46" s="167"/>
      <c r="E46" s="167"/>
      <c r="F46" s="183"/>
      <c r="J46" s="42"/>
      <c r="K46" s="46"/>
      <c r="L46" s="220"/>
      <c r="M46" s="220"/>
      <c r="N46" s="220"/>
    </row>
    <row r="47" spans="1:14" x14ac:dyDescent="0.2">
      <c r="A47" s="167"/>
      <c r="B47" s="167"/>
      <c r="C47" s="167"/>
      <c r="D47" s="167"/>
      <c r="E47" s="169"/>
      <c r="F47" s="183"/>
      <c r="G47" s="182"/>
      <c r="H47" s="182"/>
      <c r="I47" s="182"/>
      <c r="J47" s="222"/>
      <c r="K47" s="220"/>
      <c r="L47" s="220"/>
      <c r="M47" s="220"/>
      <c r="N47" s="220"/>
    </row>
    <row r="48" spans="1:14" x14ac:dyDescent="0.2">
      <c r="A48" s="167"/>
      <c r="B48" s="167"/>
      <c r="C48" s="167"/>
      <c r="D48" s="167"/>
      <c r="E48" s="167"/>
      <c r="F48" s="183"/>
      <c r="G48" s="182"/>
      <c r="H48" s="182"/>
      <c r="I48" s="182"/>
      <c r="J48" s="183"/>
      <c r="K48" s="220"/>
      <c r="L48" s="220"/>
      <c r="M48" s="220"/>
      <c r="N48" s="220"/>
    </row>
    <row r="49" spans="1:14" x14ac:dyDescent="0.2">
      <c r="A49" s="167"/>
      <c r="B49" s="167"/>
      <c r="C49" s="167"/>
      <c r="D49" s="167"/>
      <c r="E49" s="167"/>
      <c r="F49" s="183"/>
      <c r="G49" s="182"/>
      <c r="H49" s="182"/>
      <c r="I49" s="182"/>
      <c r="J49" s="183"/>
      <c r="K49" s="220"/>
      <c r="L49" s="220"/>
      <c r="M49" s="220"/>
      <c r="N49" s="220"/>
    </row>
    <row r="50" spans="1:14" x14ac:dyDescent="0.2">
      <c r="A50" s="167"/>
      <c r="B50" s="167"/>
      <c r="C50" s="167"/>
      <c r="D50" s="167"/>
      <c r="E50" s="167"/>
      <c r="F50" s="183"/>
      <c r="G50" s="182"/>
      <c r="H50" s="182"/>
      <c r="I50" s="182"/>
      <c r="J50" s="183"/>
      <c r="K50" s="220"/>
      <c r="L50" s="220"/>
      <c r="M50" s="220"/>
      <c r="N50" s="220"/>
    </row>
    <row r="51" spans="1:14" x14ac:dyDescent="0.2">
      <c r="A51" s="167"/>
      <c r="B51" s="167"/>
      <c r="C51" s="167"/>
      <c r="D51" s="167"/>
      <c r="E51" s="167"/>
      <c r="F51" s="183"/>
      <c r="G51" s="182"/>
      <c r="H51" s="182"/>
      <c r="I51" s="182"/>
      <c r="J51" s="183"/>
      <c r="K51" s="220"/>
      <c r="L51" s="220"/>
      <c r="M51" s="220"/>
      <c r="N51" s="220"/>
    </row>
    <row r="52" spans="1:14" x14ac:dyDescent="0.2">
      <c r="A52" s="167"/>
      <c r="B52" s="170"/>
      <c r="C52" s="167"/>
      <c r="D52" s="171"/>
      <c r="E52" s="167"/>
      <c r="F52" s="183"/>
      <c r="G52" s="182"/>
      <c r="H52" s="182"/>
      <c r="I52" s="182"/>
      <c r="J52" s="183"/>
      <c r="K52" s="220"/>
      <c r="L52" s="220"/>
      <c r="M52" s="220"/>
      <c r="N52" s="220"/>
    </row>
    <row r="53" spans="1:14" ht="64.5" customHeight="1" x14ac:dyDescent="0.2">
      <c r="A53" s="75" t="s">
        <v>0</v>
      </c>
      <c r="B53" s="75" t="s">
        <v>1</v>
      </c>
      <c r="C53" s="75" t="s">
        <v>2</v>
      </c>
      <c r="D53" s="181"/>
      <c r="E53" s="181"/>
      <c r="F53" s="183"/>
      <c r="G53" s="182"/>
      <c r="H53" s="182"/>
      <c r="I53" s="182"/>
      <c r="J53" s="183"/>
      <c r="K53" s="220"/>
      <c r="L53" s="220"/>
      <c r="M53" s="220"/>
      <c r="N53" s="220"/>
    </row>
    <row r="54" spans="1:14" ht="14.25" customHeight="1" x14ac:dyDescent="0.2">
      <c r="A54" s="159" t="s">
        <v>49</v>
      </c>
      <c r="B54" s="75">
        <v>500</v>
      </c>
      <c r="C54" s="155">
        <f>B54/21.6</f>
        <v>23.148148148148145</v>
      </c>
      <c r="D54" s="184"/>
      <c r="E54" s="184"/>
      <c r="F54" s="183"/>
      <c r="G54" s="182"/>
      <c r="H54" s="182"/>
      <c r="I54" s="182"/>
      <c r="J54" s="183"/>
      <c r="K54" s="220"/>
      <c r="L54" s="220"/>
      <c r="M54" s="220"/>
      <c r="N54" s="220"/>
    </row>
    <row r="55" spans="1:14" x14ac:dyDescent="0.2">
      <c r="A55" s="159" t="s">
        <v>50</v>
      </c>
      <c r="B55" s="75">
        <v>380</v>
      </c>
      <c r="C55" s="155">
        <f>B55/21.6</f>
        <v>17.592592592592592</v>
      </c>
      <c r="D55" s="184"/>
      <c r="E55" s="184"/>
      <c r="F55" s="183"/>
      <c r="G55" s="182"/>
      <c r="H55" s="182"/>
      <c r="I55" s="182"/>
      <c r="J55" s="183"/>
      <c r="K55" s="220"/>
      <c r="L55" s="220"/>
      <c r="M55" s="220"/>
      <c r="N55" s="220"/>
    </row>
    <row r="56" spans="1:14" x14ac:dyDescent="0.2">
      <c r="A56" s="159" t="s">
        <v>51</v>
      </c>
      <c r="B56" s="75">
        <v>300</v>
      </c>
      <c r="C56" s="155">
        <f>B56/21.6</f>
        <v>13.888888888888888</v>
      </c>
      <c r="D56" s="184"/>
      <c r="E56" s="184"/>
      <c r="F56" s="183"/>
      <c r="G56" s="182"/>
      <c r="H56" s="182"/>
      <c r="I56" s="182"/>
      <c r="J56" s="183"/>
      <c r="K56" s="220"/>
      <c r="L56" s="220"/>
      <c r="M56" s="220"/>
      <c r="N56" s="220"/>
    </row>
    <row r="57" spans="1:14" x14ac:dyDescent="0.2">
      <c r="A57" s="159" t="s">
        <v>52</v>
      </c>
      <c r="B57" s="75">
        <v>230</v>
      </c>
      <c r="C57" s="155">
        <f>B57/21.6</f>
        <v>10.648148148148147</v>
      </c>
      <c r="D57" s="184"/>
      <c r="E57" s="184"/>
      <c r="F57" s="183"/>
      <c r="G57" s="182"/>
      <c r="H57" s="182"/>
      <c r="I57" s="182"/>
      <c r="J57" s="183"/>
      <c r="K57" s="220"/>
      <c r="L57" s="220"/>
      <c r="M57" s="220"/>
      <c r="N57" s="220"/>
    </row>
    <row r="58" spans="1:14" x14ac:dyDescent="0.2">
      <c r="A58" s="39"/>
      <c r="B58" s="16"/>
      <c r="C58" s="16"/>
      <c r="D58" s="185"/>
      <c r="E58" s="185"/>
      <c r="F58" s="183"/>
      <c r="G58" s="182"/>
      <c r="H58" s="182"/>
      <c r="I58" s="182"/>
      <c r="J58" s="183"/>
      <c r="K58" s="220"/>
      <c r="L58" s="220"/>
      <c r="M58" s="220"/>
      <c r="N58" s="220"/>
    </row>
    <row r="59" spans="1:14" x14ac:dyDescent="0.2">
      <c r="D59" s="186"/>
      <c r="E59" s="186"/>
      <c r="F59" s="183"/>
      <c r="G59" s="182"/>
      <c r="H59" s="182"/>
      <c r="I59" s="182"/>
      <c r="J59" s="183"/>
      <c r="K59" s="220"/>
      <c r="L59" s="220"/>
      <c r="M59" s="220"/>
      <c r="N59" s="220"/>
    </row>
    <row r="60" spans="1:14" x14ac:dyDescent="0.2">
      <c r="D60" s="186"/>
      <c r="E60" s="186"/>
      <c r="F60" s="183"/>
      <c r="G60" s="182"/>
      <c r="H60" s="182"/>
      <c r="I60" s="182"/>
      <c r="J60" s="183"/>
      <c r="K60" s="220"/>
      <c r="L60" s="220"/>
      <c r="M60" s="220"/>
      <c r="N60" s="220"/>
    </row>
    <row r="61" spans="1:14" x14ac:dyDescent="0.2">
      <c r="A61" s="55"/>
      <c r="B61" s="54"/>
      <c r="C61" s="54"/>
      <c r="D61" s="186"/>
      <c r="E61" s="186"/>
      <c r="F61" s="183"/>
      <c r="G61" s="182"/>
      <c r="H61" s="182"/>
      <c r="I61" s="182"/>
      <c r="J61" s="183"/>
    </row>
    <row r="62" spans="1:14" x14ac:dyDescent="0.2">
      <c r="A62" s="55"/>
      <c r="B62" s="54"/>
      <c r="C62" s="54"/>
      <c r="D62" s="186"/>
      <c r="E62" s="186"/>
      <c r="F62" s="183"/>
      <c r="G62" s="182"/>
      <c r="H62" s="182"/>
      <c r="I62" s="182"/>
      <c r="J62" s="183"/>
    </row>
    <row r="63" spans="1:14" x14ac:dyDescent="0.2">
      <c r="A63" s="55"/>
      <c r="B63" s="54"/>
      <c r="C63" s="54"/>
      <c r="D63" s="186"/>
      <c r="E63" s="186"/>
      <c r="F63" s="183"/>
      <c r="G63" s="182"/>
      <c r="H63" s="182"/>
      <c r="I63" s="182"/>
      <c r="J63" s="183"/>
    </row>
    <row r="64" spans="1:14" x14ac:dyDescent="0.2">
      <c r="A64" s="55"/>
      <c r="B64" s="54"/>
      <c r="C64" s="54"/>
      <c r="D64" s="186"/>
      <c r="E64" s="186"/>
      <c r="F64" s="183"/>
      <c r="G64" s="182"/>
      <c r="H64" s="182"/>
      <c r="I64" s="182"/>
      <c r="J64" s="183"/>
    </row>
    <row r="65" spans="1:10" x14ac:dyDescent="0.2">
      <c r="A65" s="55"/>
      <c r="B65" s="54"/>
      <c r="C65" s="54"/>
      <c r="D65" s="186"/>
      <c r="E65" s="186"/>
      <c r="F65" s="183"/>
      <c r="G65" s="182"/>
      <c r="H65" s="182"/>
      <c r="I65" s="182"/>
      <c r="J65" s="183"/>
    </row>
    <row r="66" spans="1:10" x14ac:dyDescent="0.2">
      <c r="A66" s="55"/>
      <c r="B66" s="54"/>
      <c r="C66" s="54"/>
      <c r="D66" s="54"/>
    </row>
    <row r="67" spans="1:10" x14ac:dyDescent="0.2">
      <c r="A67" s="55"/>
      <c r="B67" s="54"/>
      <c r="C67" s="54"/>
      <c r="D67" s="54"/>
    </row>
    <row r="68" spans="1:10" x14ac:dyDescent="0.2">
      <c r="A68" s="55"/>
      <c r="B68" s="54"/>
      <c r="C68" s="54"/>
      <c r="D68" s="54"/>
    </row>
    <row r="69" spans="1:10" x14ac:dyDescent="0.2">
      <c r="A69" s="55"/>
      <c r="B69" s="54"/>
      <c r="C69" s="54"/>
      <c r="D69" s="54"/>
    </row>
    <row r="70" spans="1:10" x14ac:dyDescent="0.2">
      <c r="A70" s="55"/>
      <c r="B70" s="54"/>
      <c r="C70" s="54"/>
      <c r="D70" s="54"/>
    </row>
    <row r="71" spans="1:10" x14ac:dyDescent="0.2">
      <c r="A71" s="55"/>
      <c r="B71" s="54"/>
      <c r="C71" s="54"/>
      <c r="D71" s="54"/>
    </row>
    <row r="72" spans="1:10" x14ac:dyDescent="0.2">
      <c r="A72" s="55"/>
      <c r="B72" s="54"/>
      <c r="C72" s="54"/>
      <c r="D72" s="54"/>
    </row>
    <row r="73" spans="1:10" x14ac:dyDescent="0.2">
      <c r="A73" s="55"/>
      <c r="B73" s="54"/>
      <c r="C73" s="54"/>
      <c r="D73" s="54"/>
    </row>
    <row r="74" spans="1:10" x14ac:dyDescent="0.2">
      <c r="A74" s="55"/>
      <c r="B74" s="54"/>
      <c r="C74" s="54"/>
      <c r="D74" s="54"/>
    </row>
    <row r="75" spans="1:10" x14ac:dyDescent="0.2">
      <c r="A75" s="55"/>
      <c r="B75" s="54"/>
      <c r="C75" s="54"/>
      <c r="D75" s="54"/>
    </row>
    <row r="76" spans="1:10" x14ac:dyDescent="0.2">
      <c r="A76" s="55"/>
      <c r="B76" s="54"/>
      <c r="C76" s="54"/>
      <c r="D76" s="54"/>
    </row>
    <row r="77" spans="1:10" x14ac:dyDescent="0.2">
      <c r="A77" s="55"/>
      <c r="B77" s="54"/>
      <c r="C77" s="54"/>
      <c r="D77" s="54"/>
    </row>
    <row r="78" spans="1:10" x14ac:dyDescent="0.2">
      <c r="A78" s="55"/>
      <c r="B78" s="54"/>
      <c r="C78" s="54"/>
      <c r="D78" s="54"/>
    </row>
  </sheetData>
  <mergeCells count="18">
    <mergeCell ref="B42:D42"/>
    <mergeCell ref="A43:D43"/>
    <mergeCell ref="B31:D31"/>
    <mergeCell ref="A33:E33"/>
    <mergeCell ref="A38:A41"/>
    <mergeCell ref="B38:D38"/>
    <mergeCell ref="B39:D39"/>
    <mergeCell ref="B40:D40"/>
    <mergeCell ref="B41:D41"/>
    <mergeCell ref="A1:F1"/>
    <mergeCell ref="A2:E2"/>
    <mergeCell ref="A25:A30"/>
    <mergeCell ref="B25:D25"/>
    <mergeCell ref="B26:D26"/>
    <mergeCell ref="B27:D27"/>
    <mergeCell ref="B28:D28"/>
    <mergeCell ref="B29:D29"/>
    <mergeCell ref="B30:D30"/>
  </mergeCells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2014_new (2)</vt:lpstr>
      <vt:lpstr>2016</vt:lpstr>
      <vt:lpstr>2019</vt:lpstr>
      <vt:lpstr>2020_new</vt:lpstr>
      <vt:lpstr>2021_new</vt:lpstr>
      <vt:lpstr>2022_new</vt:lpstr>
      <vt:lpstr>2023_NRSC</vt:lpstr>
      <vt:lpstr>2024_NRSC</vt:lpstr>
      <vt:lpstr>2025_NRSC</vt:lpstr>
      <vt:lpstr>2024_NRSC with lab</vt:lpstr>
      <vt:lpstr>Overhead-NRSC</vt:lpstr>
      <vt:lpstr>2025_NRSC with lab</vt:lpstr>
      <vt:lpstr>2026_NRSC-new</vt:lpstr>
      <vt:lpstr>2026_NRSC</vt:lpstr>
      <vt:lpstr>2024_new</vt:lpstr>
      <vt:lpstr>2025_new</vt:lpstr>
      <vt:lpstr>2021 (2)</vt:lpstr>
      <vt:lpstr>2022 (3)</vt:lpstr>
      <vt:lpstr>2021</vt:lpstr>
      <vt:lpstr>2022</vt:lpstr>
    </vt:vector>
  </TitlesOfParts>
  <Company>ANRA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Simonyan</dc:creator>
  <cp:lastModifiedBy>Լաուրա Ավետիքյան</cp:lastModifiedBy>
  <cp:lastPrinted>2024-03-01T12:26:21Z</cp:lastPrinted>
  <dcterms:created xsi:type="dcterms:W3CDTF">2009-02-18T09:20:04Z</dcterms:created>
  <dcterms:modified xsi:type="dcterms:W3CDTF">2024-07-31T06:55:30Z</dcterms:modified>
</cp:coreProperties>
</file>