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803" firstSheet="9" activeTab="11"/>
  </bookViews>
  <sheets>
    <sheet name="1-ԱՄՓՈՓ" sheetId="1" r:id="rId1"/>
    <sheet name="2-ԸՆԴԱՄԵՆԸ ԾԱԽՍԵՐ " sheetId="2" r:id="rId2"/>
    <sheet name="3-Ծախսերի բացվածք" sheetId="3" r:id="rId3"/>
    <sheet name="4-փոստային կապ" sheetId="4" r:id="rId4"/>
    <sheet name="5-ԿԱՊ" sheetId="5" r:id="rId5"/>
    <sheet name="7-էլ-էներգիա" sheetId="6" r:id="rId6"/>
    <sheet name="8-էլ-էներգիա-ջեռուցում" sheetId="7" r:id="rId7"/>
    <sheet name="10-գործուղում" sheetId="8" r:id="rId8"/>
    <sheet name="11-ավտոմեքենա" sheetId="9" r:id="rId9"/>
    <sheet name="12-վարչական սարքավորումներ " sheetId="10" r:id="rId10"/>
    <sheet name="14տարածքներ" sheetId="11" r:id="rId11"/>
    <sheet name="15ընթացիկ նորոգում" sheetId="12" r:id="rId12"/>
    <sheet name="16վերապատրաստում" sheetId="13" r:id="rId13"/>
    <sheet name="17կառուցվածք" sheetId="14" r:id="rId14"/>
    <sheet name="18հաստիքացուցակ պետ-ծառ" sheetId="15" r:id="rId15"/>
    <sheet name="31աշխատավարձի ֆոնդ" sheetId="16" r:id="rId16"/>
  </sheets>
  <externalReferences>
    <externalReference r:id="rId19"/>
  </externalReferences>
  <definedNames>
    <definedName name="_xlfn._FV" hidden="1">#NAME?</definedName>
    <definedName name="_xlnm.Print_Titles" localSheetId="14">'18հաստիքացուցակ պետ-ծառ'!$1:$6</definedName>
    <definedName name="_xlnm.Print_Titles" localSheetId="1">'2-ԸՆԴԱՄԵՆԸ ԾԱԽՍԵՐ '!$6:$8</definedName>
    <definedName name="_xlnm.Print_Titles" localSheetId="15">'31աշխատավարձի ֆոնդ'!$A:$B</definedName>
  </definedNames>
  <calcPr fullCalcOnLoad="1"/>
</workbook>
</file>

<file path=xl/comments11.xml><?xml version="1.0" encoding="utf-8"?>
<comments xmlns="http://schemas.openxmlformats.org/spreadsheetml/2006/main">
  <authors>
    <author>Laura Avetikyan</author>
  </authors>
  <commentList>
    <comment ref="E19" authorId="0">
      <text>
        <r>
          <rPr>
            <b/>
            <sz val="9"/>
            <rFont val="Tahoma"/>
            <family val="2"/>
          </rPr>
          <t>Laura Avetikyan:</t>
        </r>
        <r>
          <rPr>
            <sz val="9"/>
            <rFont val="Tahoma"/>
            <family val="2"/>
          </rPr>
          <t xml:space="preserve">
620,3+117,7
</t>
        </r>
      </text>
    </comment>
    <comment ref="F19" authorId="0">
      <text>
        <r>
          <rPr>
            <b/>
            <sz val="9"/>
            <rFont val="Tahoma"/>
            <family val="2"/>
          </rPr>
          <t>Laura Avetikyan:</t>
        </r>
        <r>
          <rPr>
            <sz val="9"/>
            <rFont val="Tahoma"/>
            <family val="2"/>
          </rPr>
          <t xml:space="preserve">
620,3+78-78+117,7
երեք որոշումներով
</t>
        </r>
      </text>
    </comment>
  </commentList>
</comments>
</file>

<file path=xl/comments7.xml><?xml version="1.0" encoding="utf-8"?>
<comments xmlns="http://schemas.openxmlformats.org/spreadsheetml/2006/main">
  <authors>
    <author>Laura Avetikyan</author>
  </authors>
  <commentList>
    <comment ref="F10" authorId="0">
      <text>
        <r>
          <rPr>
            <b/>
            <sz val="9"/>
            <rFont val="Tahoma"/>
            <family val="2"/>
          </rPr>
          <t>Laura Avetikyan:</t>
        </r>
        <r>
          <rPr>
            <sz val="9"/>
            <rFont val="Tahoma"/>
            <family val="2"/>
          </rPr>
          <t xml:space="preserve">
28.04.2015 N 629-Ն որոշում
</t>
        </r>
      </text>
    </comment>
  </commentList>
</comments>
</file>

<file path=xl/sharedStrings.xml><?xml version="1.0" encoding="utf-8"?>
<sst xmlns="http://schemas.openxmlformats.org/spreadsheetml/2006/main" count="1801" uniqueCount="849">
  <si>
    <t>.</t>
  </si>
  <si>
    <t>x</t>
  </si>
  <si>
    <t>I</t>
  </si>
  <si>
    <t>II</t>
  </si>
  <si>
    <t>III</t>
  </si>
  <si>
    <t>IY</t>
  </si>
  <si>
    <t>NN</t>
  </si>
  <si>
    <t>*</t>
  </si>
  <si>
    <t>V</t>
  </si>
  <si>
    <t xml:space="preserve">Ձև N  1 </t>
  </si>
  <si>
    <t>Կառավարման  ապարատ</t>
  </si>
  <si>
    <t xml:space="preserve">Հայտատուի  անվանումը </t>
  </si>
  <si>
    <t>հաստատված բյուջե</t>
  </si>
  <si>
    <t>բյուջետային  հայտ</t>
  </si>
  <si>
    <t>Ծառայողական  ավտոմեքենաների  քանակը</t>
  </si>
  <si>
    <t>ԸՆԴԱՄԵՆԸ  ԾԱԽՍԵՐ</t>
  </si>
  <si>
    <t>կոդը</t>
  </si>
  <si>
    <t>ԸՆԹԱՑԻԿ  ԾԱԽՍԵՐ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</si>
  <si>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</si>
  <si>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</si>
  <si>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-Քաղաքացիական, դատական և պետական ծառայողների պարգևատրում </t>
  </si>
  <si>
    <t>Էներգետիկ ծառայություններ</t>
  </si>
  <si>
    <t>Կոմունալ ծառայություններ</t>
  </si>
  <si>
    <t>Ջրամատակարարման և ջրահեռացման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</si>
  <si>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</si>
  <si>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</si>
  <si>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</si>
  <si>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Արտագերատեսչական ծախսեր</t>
  </si>
  <si>
    <t>Ներքին  գործուղումներ</t>
  </si>
  <si>
    <t>Արտասահմանյան գործուղումների գծով ծախսեր</t>
  </si>
  <si>
    <t>Վարչական ծառայություններ</t>
  </si>
  <si>
    <t>Համակարգչային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</si>
  <si>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</si>
  <si>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</si>
  <si>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</si>
  <si>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</si>
  <si>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</si>
  <si>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</si>
  <si>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</si>
  <si>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</si>
  <si>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Ավտոմեքենաների ընթացիկ նորոգում և պահպանում</t>
  </si>
  <si>
    <t>Սարքավորումների ընթացիկ նորոգում և պահպանում</t>
  </si>
  <si>
    <t>Գրասենյակային նյութեր և հագուստ</t>
  </si>
  <si>
    <t>Գրասենյակային պիտույքներ</t>
  </si>
  <si>
    <t>Հագուստ և համազգեստ</t>
  </si>
  <si>
    <t>Հատուկ նպատակային այլ նյութեր</t>
  </si>
  <si>
    <t>Սուբսիդիաներ ոչ ֆինանսական պետական կազմակերպություններին</t>
  </si>
  <si>
    <t>Ընթացիկ դրամաշնորհներ միջազգային կազմակերպություններին</t>
  </si>
  <si>
    <t>Այլ նպաստներ բյուջեից</t>
  </si>
  <si>
    <t>Այլ հարկեր</t>
  </si>
  <si>
    <t>Պարտադիր վճարներ</t>
  </si>
  <si>
    <t>Այլ  ծախսեր</t>
  </si>
  <si>
    <t>Պահուստային միջոցներ</t>
  </si>
  <si>
    <t>այդ  թվում`</t>
  </si>
  <si>
    <t xml:space="preserve"> ՈՉ ՖԻՆԱՆՍԱԿԱՆ ԱԿՏԻՎՆԵՐԻ ԳԾՈՎ ԾԱԽՍԵՐ</t>
  </si>
  <si>
    <t xml:space="preserve">Տրանսպորտային սարքավորումներ </t>
  </si>
  <si>
    <t>Վարչական  սարքավորումներ</t>
  </si>
  <si>
    <t>Այլ մեքենաներ և սարքավորումներ</t>
  </si>
  <si>
    <t xml:space="preserve">Ոչ նյութական հիմնական միջոցներ </t>
  </si>
  <si>
    <t>Հ Ա Շ Վ Ա Ր Կ</t>
  </si>
  <si>
    <t>քանակը</t>
  </si>
  <si>
    <t>(դրամ)</t>
  </si>
  <si>
    <t>Ընդամենը կապի ծառայությունների վճարներ (տարեկան)</t>
  </si>
  <si>
    <t>Հաստիքը  կամ  ստորաբաժանումը</t>
  </si>
  <si>
    <t>Պետական մարմին - ընդամենը աշխատողների թիվը</t>
  </si>
  <si>
    <t>Ղեկավարի խորհրդական</t>
  </si>
  <si>
    <t>Ղեկավարի օգնական</t>
  </si>
  <si>
    <t>Ղեկավարի մամուլի քարտուղար</t>
  </si>
  <si>
    <t>Տեխնիկական սպասարկում իրականացնող անձնակազմ</t>
  </si>
  <si>
    <t>Յուրաքանչյուր 4 կամ 5 միավորի համար մեկական հեռախոսագիծ (բացառությամբ տեխնիկական սպասարկողների)</t>
  </si>
  <si>
    <t>Ընդամենը</t>
  </si>
  <si>
    <t>հ/հ</t>
  </si>
  <si>
    <t>Հ/Հ</t>
  </si>
  <si>
    <t>Այդ թվում`</t>
  </si>
  <si>
    <t>Ձև N 7</t>
  </si>
  <si>
    <t>Ձև N 8</t>
  </si>
  <si>
    <t>Համակար     գիչների քանակը  (հատ)</t>
  </si>
  <si>
    <t xml:space="preserve">Հզորությունը </t>
  </si>
  <si>
    <t>Շահագործ  ման ժամերի տարեկան քանակը</t>
  </si>
  <si>
    <t>Շենքերի և շինություն ների մակերեսը (քառ/մետր)</t>
  </si>
  <si>
    <t>Տարեկան ծախսի նորմը (կվտ.ժ)</t>
  </si>
  <si>
    <t>Ընդամենը  տարեկան ծախսի նորմը (կվտ.ժ)</t>
  </si>
  <si>
    <t>Ընդամենը էլեկտրաէներ  գիայի ծախս               (հազ. դրամ)</t>
  </si>
  <si>
    <t xml:space="preserve"> Այլ հատուկ սարքեր /վերելակներ, ներքին հեռախոսակայաններ, արտաքին լուսավորություն և այլն/</t>
  </si>
  <si>
    <t>Լուսավորության և կենցաղային սարքերի ծախսի, առանց օդի լավորակման դեպքում` շենքերի և շինությունների 1 քառ/մետր մակերեսի համար</t>
  </si>
  <si>
    <t>Համակարգիչների` 1 հատի համար, որը ներառում է տպիչ սարքերի և այլ կազմտեխնիկայի ծախսը, 8-ժամյա աշխատանքային օրվա համար</t>
  </si>
  <si>
    <t>այդ թվում`</t>
  </si>
  <si>
    <t>Բնակավայրը</t>
  </si>
  <si>
    <t>Շենքի տեսակը  (քար / պանելային,   միաձույլ)</t>
  </si>
  <si>
    <t xml:space="preserve">Շենքի ծավալը (խոր/մետր) հաշվարկված արտաքին չափերով </t>
  </si>
  <si>
    <t>այդ թվում` զբաղեցրած տարածքի ծավալը (խոր. մետր)</t>
  </si>
  <si>
    <t xml:space="preserve">քար </t>
  </si>
  <si>
    <t>պանելային,      միաձույլ</t>
  </si>
  <si>
    <t>Ընդամենը ջեռուցման համար էլեկտրաէներգիայի ծախս               (հազ. դրամ)</t>
  </si>
  <si>
    <t>Ձև N 10</t>
  </si>
  <si>
    <t>Ձև N 11</t>
  </si>
  <si>
    <t>Տ Ե Ղ Ե Կ Ա Ն Ք</t>
  </si>
  <si>
    <t xml:space="preserve">գործուղման ծախսերի հաշվարկման վերաբերյալ </t>
  </si>
  <si>
    <t xml:space="preserve">հազ. դրամ </t>
  </si>
  <si>
    <t>Գործուղման վայրեր</t>
  </si>
  <si>
    <t>Գործուղման տևողությունը</t>
  </si>
  <si>
    <t>Գործուղման մեկնողների թիվը</t>
  </si>
  <si>
    <t>Օրապահիկ</t>
  </si>
  <si>
    <t>Վճարը 1 օրվա համար</t>
  </si>
  <si>
    <t>Ճանապարհածախսը  1 անձի համար մեկ ուղղությամբ</t>
  </si>
  <si>
    <t>Ընդամենը ծախսեր</t>
  </si>
  <si>
    <t>Գիշերավարձ</t>
  </si>
  <si>
    <t>Ճանապարհածախս              1 անձի համար մեկ ուղղությամբ</t>
  </si>
  <si>
    <t xml:space="preserve">Ծախսերի տարբերու թյունը             </t>
  </si>
  <si>
    <t>Ձև N 12</t>
  </si>
  <si>
    <t>Ավտոմեքենայի  մակնիշը</t>
  </si>
  <si>
    <t>Թողարկման տարեթիվը</t>
  </si>
  <si>
    <t>Ձեռքբերման արժեքը   /հազ.դրամ/</t>
  </si>
  <si>
    <t>Հաշվեկշռային (մնացոր դային)  արժեքը /հազ.դրամ/</t>
  </si>
  <si>
    <t>Քանակը</t>
  </si>
  <si>
    <t>Մեկ միավորի գինը     /հազ.  դրամ/</t>
  </si>
  <si>
    <t>Ընդամենը ծախսեր /հազ.  դրամ/</t>
  </si>
  <si>
    <t xml:space="preserve">Այդ թվում` </t>
  </si>
  <si>
    <t>Չափի միավորը</t>
  </si>
  <si>
    <t>Ձեռքբեր ման  տարեթիվը</t>
  </si>
  <si>
    <t>Սկզբնական արժեքը   /հազ.դրամ/</t>
  </si>
  <si>
    <t>Ձև N 15</t>
  </si>
  <si>
    <t>Կառուցվածքային ստորաբաժանումների անվանումը</t>
  </si>
  <si>
    <t>Հաստիքային միավորների թիվը</t>
  </si>
  <si>
    <t xml:space="preserve">Վարչություններ </t>
  </si>
  <si>
    <t>Բաժիններ</t>
  </si>
  <si>
    <t>Ձև N 17</t>
  </si>
  <si>
    <t>/դրամ/</t>
  </si>
  <si>
    <t>Տարբերությունը</t>
  </si>
  <si>
    <t>Հաստիքային ցուցակի համեմատական</t>
  </si>
  <si>
    <t>Անուն, Ազգանուն</t>
  </si>
  <si>
    <t>Պաշտոնի անվանումը</t>
  </si>
  <si>
    <t>Պաշտոնի    կոդը</t>
  </si>
  <si>
    <t xml:space="preserve">Ըստ հաստատված կառուցվածքային ստորաբաժանումների </t>
  </si>
  <si>
    <t>Վարչություն /բաժին/</t>
  </si>
  <si>
    <t>Ընդամենը ըստ ստորաբաժանման</t>
  </si>
  <si>
    <t>Ընդամենը քաղաքացիական /պետական, հատուկ/ ծառայողներ</t>
  </si>
  <si>
    <t>Ընդամենը  ըստ  պետական կառավարման  մարմնի</t>
  </si>
  <si>
    <t>Հաստիքային ցուցակը կազմել ըստ հաստատված կառուցվածքային ստորաբաժանումների</t>
  </si>
  <si>
    <t>Ձև N 18</t>
  </si>
  <si>
    <t>Դիվանագիտական ծառայողներ</t>
  </si>
  <si>
    <t xml:space="preserve">Սահմանվող պաշտոնային դրույքաչափը </t>
  </si>
  <si>
    <t>Դատավորներ</t>
  </si>
  <si>
    <t xml:space="preserve">Ընդամենը ամսական աշխատա վարձի ֆոնդ  </t>
  </si>
  <si>
    <t>Դատախազներ</t>
  </si>
  <si>
    <t xml:space="preserve">Ընդամենը </t>
  </si>
  <si>
    <t>Հարկային ծառայողներ</t>
  </si>
  <si>
    <t>Մաքսային ծառայողներ</t>
  </si>
  <si>
    <t>Հարկադիր կատարողներ</t>
  </si>
  <si>
    <t xml:space="preserve">  4111</t>
  </si>
  <si>
    <t xml:space="preserve">  4112</t>
  </si>
  <si>
    <t>4113</t>
  </si>
  <si>
    <t>Շենքերի պահպանման ծառայություններ /դեռատիզացիա/</t>
  </si>
  <si>
    <t>աղբահանություն</t>
  </si>
  <si>
    <t>այլ</t>
  </si>
  <si>
    <t>ավտոմեքենաների տեխզննություն և բնապահպանական վճար</t>
  </si>
  <si>
    <t>Ընթացիկ սուբվենցիաներ համայնքներին</t>
  </si>
  <si>
    <t>Հաստիքային  միավորների  թիվը</t>
  </si>
  <si>
    <t>Էլեկտրաէներգիայով ջեռուցման ծառայություններ</t>
  </si>
  <si>
    <t xml:space="preserve">Հաստիքային միավորների թիվը </t>
  </si>
  <si>
    <t xml:space="preserve">Ամսական աշխատա    վարձի ֆոնդ    </t>
  </si>
  <si>
    <r>
      <t>*</t>
    </r>
    <r>
      <rPr>
        <sz val="8"/>
        <rFont val="GHEA Grapalat"/>
        <family val="3"/>
      </rPr>
      <t xml:space="preserve">Սահմանվող պաշտոնային դրույքաչափը /ս.8 x բազային աշխատավարձ/ </t>
    </r>
  </si>
  <si>
    <t xml:space="preserve">Ընդամենը տարեկան աշխատա վարձի ֆոնդ  </t>
  </si>
  <si>
    <t>…</t>
  </si>
  <si>
    <t>Տրանսպորտային նյութեր</t>
  </si>
  <si>
    <t xml:space="preserve">Գյուղատնտեսական ապրանքներ </t>
  </si>
  <si>
    <t xml:space="preserve">Կենցաղային և հանրային սննդի նյութեր </t>
  </si>
  <si>
    <t>Ց Ա Ն Կ</t>
  </si>
  <si>
    <t xml:space="preserve">Հայեցողական պաշտոններ </t>
  </si>
  <si>
    <t>խորհրդական</t>
  </si>
  <si>
    <t>օգնական</t>
  </si>
  <si>
    <t>մամուլի քարտուղար</t>
  </si>
  <si>
    <t>Տեխնիկական սպասարկում իրականացնող և քաղաքացիական աշխատանք կատարող անձնակազմ</t>
  </si>
  <si>
    <t>IV</t>
  </si>
  <si>
    <t xml:space="preserve">Ընդամենը աշխատողների թվաքանակը </t>
  </si>
  <si>
    <t>Քաղաքացիական /պետական, դատական, հատուկ/ ծառայողներ</t>
  </si>
  <si>
    <t>Աշխատավարձի ֆոնդի հաշվարկ</t>
  </si>
  <si>
    <t>Ձև N 16</t>
  </si>
  <si>
    <t xml:space="preserve"> /հազ. դրամ/</t>
  </si>
  <si>
    <t>/հազ. դրամ/</t>
  </si>
  <si>
    <t>Զբաղեցվող տարածքի գտնվելու հասցեն</t>
  </si>
  <si>
    <t>Ընդամենը՝</t>
  </si>
  <si>
    <t>Տարեկան վարձավճարի գումարը                   (հազ դրամ)</t>
  </si>
  <si>
    <t>Տարածքը (քառ մետր)</t>
  </si>
  <si>
    <t>Պետական մարմնի ստորաբաժանման անվանումը, որի կողմից զբաղեցված է համապատասխան տարածքը</t>
  </si>
  <si>
    <t>Ընթացիկ դրամաշնորհներ պետական կառավարման հատվածին</t>
  </si>
  <si>
    <t>Աշխատակազմի մասնագիտական զարգացման ծառայություններ</t>
  </si>
  <si>
    <t>4639</t>
  </si>
  <si>
    <t>Այլ ընթացիկ դրամաշնորհներ</t>
  </si>
  <si>
    <t>Բյուջետային ծախսերի տնտ. դասակարգման հոդվածի անվանումը</t>
  </si>
  <si>
    <t>այդ  թվում՝</t>
  </si>
  <si>
    <t xml:space="preserve">  փաստացի  կատարո ղական</t>
  </si>
  <si>
    <t>Գազով ջեռուցման ծառայություններ</t>
  </si>
  <si>
    <t>Բյուջետային ծախսերի տնտեսագիտական դասակարգման հոդվածի անվանումը</t>
  </si>
  <si>
    <t>Ձև N 5</t>
  </si>
  <si>
    <t>Ընդամենը  տարեկան ծախսի նորմը (կվտ/ժ)</t>
  </si>
  <si>
    <t xml:space="preserve">Ջերմային էներգիայի տարեկան ծախսի նորմը` կվտ/Ժ/ խոր.մետր                 </t>
  </si>
  <si>
    <t>հոդվածի կոդը</t>
  </si>
  <si>
    <t>Ձև N 3</t>
  </si>
  <si>
    <t>ՎԱՐՁԱԿԱԼՈՒԹՅԱՄԲ</t>
  </si>
  <si>
    <t>ՍԵՓԱԿԱՆՈՒԹՅԱՆ ԻՐԱՎՈՒՆՔՈՎ</t>
  </si>
  <si>
    <t xml:space="preserve">ԱՆՀԱՏՈՒՅՑ ՕԳՏԱԳՈՐԾՄԱՆ </t>
  </si>
  <si>
    <t>Տարածքը զբաղեցնելու իրավական հիմքը (համապատասխան իրավական ակտի, Վարձակալության պայմանագրի կամ սեփականության վկայականի համարը)</t>
  </si>
  <si>
    <t>Ծառայողական գործուղումների գծով ծախսեր</t>
  </si>
  <si>
    <t xml:space="preserve">Տվյալ տարածքում վճարման ենթակա ընդամենը կոմունալ ծախսը                  </t>
  </si>
  <si>
    <t>Էլեկտրաէներգիա (լուսավորություն)  /հազ դրամ/</t>
  </si>
  <si>
    <t>Էլեկտրաէներգիա (ջեռուցում)           /հազ դրամ/</t>
  </si>
  <si>
    <t>Գազ (ջեռուցում)          /հազ դրամ/</t>
  </si>
  <si>
    <t>Ջուր                   /հազ դրամ/</t>
  </si>
  <si>
    <t>4824</t>
  </si>
  <si>
    <t>Առողջապահական և լաբորատոր նյութեր</t>
  </si>
  <si>
    <t>Բաժին</t>
  </si>
  <si>
    <t>խումբ</t>
  </si>
  <si>
    <t>դաս</t>
  </si>
  <si>
    <t xml:space="preserve"> Ծրագրային դասիչը</t>
  </si>
  <si>
    <t xml:space="preserve"> Ծրագիր</t>
  </si>
  <si>
    <t xml:space="preserve"> Միջոցառում</t>
  </si>
  <si>
    <t xml:space="preserve"> այդ թվում`</t>
  </si>
  <si>
    <t>Պետական հատվածի տարբեր մակարդակների կողմից միմյանց նկատմամբ կիրառվող տույժեր</t>
  </si>
  <si>
    <t>Գլխավոր քարտուղար</t>
  </si>
  <si>
    <t>Գլխավոր քարտուղարի տեղակալ</t>
  </si>
  <si>
    <t xml:space="preserve">Կառուցվածքային ստորաբաժանումներ՝  </t>
  </si>
  <si>
    <t xml:space="preserve">այդ թվում` </t>
  </si>
  <si>
    <t>Հիմնական մասնագիտական կառուցվածքային ստորաբաժանումներ</t>
  </si>
  <si>
    <t>2)</t>
  </si>
  <si>
    <t>1)</t>
  </si>
  <si>
    <t>Աջակցող մասնագիտական կառուցվածքային ստորաբաժանումներ</t>
  </si>
  <si>
    <t>Գրասենյակ, գործակալություն</t>
  </si>
  <si>
    <t xml:space="preserve">Ղեկավար պաշտոններ </t>
  </si>
  <si>
    <t>ՀՀ կառավարության  2014թ. հուլիսի 3-ի «Պետական իշխանության մարմիններում քաղաքացիական աշխատանք կատարող և տեխնիկական սպասարկում իրականացնող անձանց պաշտոնային դրույքաչափերը սահմանելու մասին» N 737-Ն որոշում</t>
  </si>
  <si>
    <t>«Պետական պաշտոններ և պետական ծառայության պաշտոններ զբաղեցնող անձանց վարձատրության մասին» ՀՀ օրենք</t>
  </si>
  <si>
    <t xml:space="preserve">Քաղաքացիական աշխատանք կատարող և տեխնիկական սպասարկում իրականացնող անձնակազմ </t>
  </si>
  <si>
    <t>Քաղաքացիական աշխատանք կատարող և տեխնիկական սպասարկում իրականացնող անձնակազմ</t>
  </si>
  <si>
    <t xml:space="preserve"> Բյուջետային հատկացումների ծրագրերի և միջոցառումների անվանումները</t>
  </si>
  <si>
    <t>Հայեցողական պաշտոններ /խորհրդական, օգնական, մամուլի քարտուղար/</t>
  </si>
  <si>
    <r>
      <t>ԱՇԽԱՏԱՆՔԻ  ՎԱՐՁԱՏՐՈՒԹՅՈՒՆ</t>
    </r>
    <r>
      <rPr>
        <b/>
        <sz val="12"/>
        <color indexed="10"/>
        <rFont val="GHEA Grapalat"/>
        <family val="3"/>
      </rPr>
      <t xml:space="preserve">  </t>
    </r>
  </si>
  <si>
    <t>Մարմնի ղեկավար</t>
  </si>
  <si>
    <t>Մարմնի ղեկավարի տեղակալ</t>
  </si>
  <si>
    <t>Լուսավորության և կենցաղային սարքերի ծախսի, օդի լավորակման դեպքում` շենքերի և շինությունների 1քառ/մետր մակերեսի համար</t>
  </si>
  <si>
    <t xml:space="preserve">Ծրագրի վրա կատարվող ծախսը </t>
  </si>
  <si>
    <t>(հազար դրամ)</t>
  </si>
  <si>
    <t xml:space="preserve">Միջոցառման վրա կատարվող ծախսը - ընթացիկ ծախսեր </t>
  </si>
  <si>
    <t>Գործուղման նպատակը</t>
  </si>
  <si>
    <t>4637</t>
  </si>
  <si>
    <t>Ընթացիկ դրամաշնորհներ պետական և համայնքների ոչ առևտրային կազմակերպություններին</t>
  </si>
  <si>
    <t xml:space="preserve">Աճեցվող ակտիվներ </t>
  </si>
  <si>
    <t xml:space="preserve"> Ընթացիկ դրամաշնորհներ պետական և համայնքային առևտրային կազմակերպություններին</t>
  </si>
  <si>
    <t>2022թ.</t>
  </si>
  <si>
    <t>2023թ.</t>
  </si>
  <si>
    <t>Վարձակալությամբ/ենթավարձակալությամբ գույքը հանձնող սուբյեկտի անվանումը՝ ըստ  պայմանագրի</t>
  </si>
  <si>
    <t xml:space="preserve">Գործակից /2023թ. հուլիսի 1-ի դրությամբ/  </t>
  </si>
  <si>
    <t>Տվյալ պաշտոնում աշխատանքային ստաժը /2023թ. հուլիսի 1-ի դրությամբ/  (տարի/ամիս)</t>
  </si>
  <si>
    <t>2024թ. բյուջետային  հայտ</t>
  </si>
  <si>
    <t>2024թ.</t>
  </si>
  <si>
    <t>Տվյալ պաշտոնում աշխատանքային ստաժը /2024թ. հուլիսի 1-ի դրությամբ/  (տարի/ամիս)</t>
  </si>
  <si>
    <t xml:space="preserve">Գործակից /2024թ. հուլիսի 1-ի դրությամբ/  </t>
  </si>
  <si>
    <t xml:space="preserve">2024թ. </t>
  </si>
  <si>
    <t>4655</t>
  </si>
  <si>
    <t>Կապիտալ դրամաշնորհներ պետական և համայնքային ոչ առևտրային կազմակերպություններին</t>
  </si>
  <si>
    <t xml:space="preserve">Դատարանների կողմից նշանակված տույժեր ու տուգանքներ </t>
  </si>
  <si>
    <t xml:space="preserve">Կառավարման մարմինների գործունեության հետևանքով առաջացած վնասվածքների  կամ վնասների վերականգնում </t>
  </si>
  <si>
    <r>
      <t>Քաղաքացիական /պետական/ ծառայողներ</t>
    </r>
    <r>
      <rPr>
        <b/>
        <sz val="9"/>
        <color indexed="10"/>
        <rFont val="GHEA Grapalat"/>
        <family val="3"/>
      </rPr>
      <t xml:space="preserve"> **</t>
    </r>
  </si>
  <si>
    <r>
      <t>**</t>
    </r>
    <r>
      <rPr>
        <sz val="10"/>
        <rFont val="GHEA Grapalat"/>
        <family val="3"/>
      </rPr>
      <t>Քաղաքացիական /պետական/ ծառայողների թափուր հաստիքների պաշտոնային դրույքաչափի հաշվարկման համար կիրառել համապատասխան սանդղակի 6-րդ մակարդակում ներկայացված գործակիցը:</t>
    </r>
  </si>
  <si>
    <t xml:space="preserve">2025թ. </t>
  </si>
  <si>
    <t>Տվյալ պաշտոնում աշխատանքային ստաժը /2025թ. հուլիսի 1-ի դրությամբ/  (տարի/ամիս)</t>
  </si>
  <si>
    <t xml:space="preserve">Գործակից /2025թ. հուլիսի 1-ի դրությամբ/  </t>
  </si>
  <si>
    <t>Հակակոռուպցիոն կոմիտեի ինքնավար պաշտոն զբաղեցնող անձինք և ծառայողներ</t>
  </si>
  <si>
    <t>Ձև N 14</t>
  </si>
  <si>
    <t>ՀԱՇՎԱՐԿ</t>
  </si>
  <si>
    <t>Վերապատրաստվողների թիվը                                                   (մարդ)</t>
  </si>
  <si>
    <t>Ընդամենը (հազար դրամ)</t>
  </si>
  <si>
    <t>Ա</t>
  </si>
  <si>
    <t>Ձև N 31</t>
  </si>
  <si>
    <t>Մեկ ժամի վերապատրաստման արժեքը                                        (դրամ)</t>
  </si>
  <si>
    <t>Յուրաքանչյուր դասընթացի ծավալը (ժամ)</t>
  </si>
  <si>
    <t>Դասընթացի նկարագրությունը</t>
  </si>
  <si>
    <t>դասընթաց 1</t>
  </si>
  <si>
    <t>դասընթաց 2</t>
  </si>
  <si>
    <t>Շինության տարածքը (քառ մետր)</t>
  </si>
  <si>
    <t>Il. ԸՆԹԱՑԻԿ, ՄԻՋԻՆ ՆՈՐՈԳՄԱՆ, ԸՆԹԱՑԻԿ ՊԱՀՊԱՆՄԱՆ ԵՎ ՆԵՐՔԻՆ ՀԱՐԴԱՐՄԱՆ ԱՇԽԱՏԱՆՔՆԵՐԸ</t>
  </si>
  <si>
    <t xml:space="preserve">Տվյալ տարածքում կատարվելիք ընթացիկ նորոգման և պահպանման աշխատանքները,
հիմքը՝ ՀՀ կառավարության 2015թ. մարտի 19-ի N 596-Ն որոշման N 4 հավելվածի Ցանկ N 1           </t>
  </si>
  <si>
    <t>ՆԱԽԱՀԱՇՎԱՅԻՆ ԳԻՆԸ</t>
  </si>
  <si>
    <t>Պետական մարմնի ստորաբաժանման անվանումը, որի կողմից զբաղեցվում է համապատասխան տարածքը</t>
  </si>
  <si>
    <t xml:space="preserve">Տարածքը զբաղեցնելու իրավական հիմքը </t>
  </si>
  <si>
    <t>Զբաղեցվող շինության/տարածքի գտնվելու հասցեն</t>
  </si>
  <si>
    <t>Թերությունների ակտի և նախահաշվի առկայությունը (կցել առկայության դեպքում)*</t>
  </si>
  <si>
    <t>ՀՀ կառավարության 2015թ. մարտի 19-ի N 596-Ն որոշման N 4 հավելվածի Ցանկ N 1, կետ 2: 
2. Ընթացիկ նորոգման, ներքին հարդարման, ընթացիկ պահպանման և ընդհանուր օգտագործման տարածքներում բարեկարգման աշխատանքների կազմակերպման համար կարող է կատարվել շենքերի և շինությունների ուսումնասիրություն, կազմվել թերությունների մասին ակտ, աշխատանքների ցանկ և, անհրաժեշտության դեպքում, նախահաշիվ:</t>
  </si>
  <si>
    <t>4115</t>
  </si>
  <si>
    <t>- Այլ վարձատրություն</t>
  </si>
  <si>
    <t>Մաշվածությունը (տարեկան 12%)*</t>
  </si>
  <si>
    <t>Առկա դյուրակիր համակարգիչներ (լափթոփներ, նոութբուքեր). գրպանի ՊԴԱ (PDA) համակարգիչներ և համանման այլ համակարգչային սարքավորումներ), թիվը` ընդամենը</t>
  </si>
  <si>
    <t xml:space="preserve">Առկա համակարգիչների (ներառյալ` սեղանի (ստատիկ) համակարգիչների) թիվը` ընդամենը </t>
  </si>
  <si>
    <t>Մոնիտորներ և պրոյեկտորներ, թիվը` ընդամենը</t>
  </si>
  <si>
    <t>Տպիչ, համակարգչին կամ համակարգչային ցանցին միանալու հնարավորություն ունեցող պատճենահանող և ֆաքսիմիլային սարքեր,  թիվը` ընդամենը</t>
  </si>
  <si>
    <t>Նշված խմբում ընդգրկված այլ համակարգչային սարքեր, թիվը` ընդամենը</t>
  </si>
  <si>
    <t>Դաս</t>
  </si>
  <si>
    <t>Խումբ</t>
  </si>
  <si>
    <t>Տեսակ</t>
  </si>
  <si>
    <t>Օգտակար ծառայության ժամկետ</t>
  </si>
  <si>
    <t>(տարի)</t>
  </si>
  <si>
    <t>Գրասենյակային և տնտեսական գույք և պարագաներ, գործիքներ</t>
  </si>
  <si>
    <t>Համակարգիչներ (ներառյալ` սեղանի (ստատիկ) համակարգիչներ, դյուրակիր համակարգիչներ (լափթոփներ, նոութբուքեր). գրպանի ՊԴԱ (PDA) համակարգիչներ և համանման այլ համակարգչային սարքավորումներ)</t>
  </si>
  <si>
    <t>Համակարգչային սարքավորումներ և տեխնիկա (ներառյալ` մոնիտորներ և պրոյեկտորներ, օգտագործվող բացառապես տվյալների ավտոմատ մշակման համակարգերում, հիշող սարքեր, կիսահաղորդչային հիշող սարքեր, ապահովող տեղեկատվության պահպանումը հոսանքի անջատման դեպքում, տպիչ, համակարգչին կամ համակարգչային ցանցին միանալու հնարավորություն ունեցող պատճենահանող և ֆաքսիմիլային սարքեր` միավորված կամ չմիավորված և այլն)</t>
  </si>
  <si>
    <t>Այլ համակարգչային սարքավորումներ և տեխնիկա</t>
  </si>
  <si>
    <t>Հեռախոսներ (այդ թվում` բջջային), ռադիոհաղորդակցման սարքեր</t>
  </si>
  <si>
    <t>Համակարգչային սարքավորումներ/տեխնիկա</t>
  </si>
  <si>
    <t>Գրասենյակային և տնտեսական գույք</t>
  </si>
  <si>
    <t>Գրասենյակային էլեկտրական տեխնիկա (ներառյալ` հեռուստացույցներ, սառնարաններ, խմելու ջրի սարքեր, օդորակիչներ, տաքացուցիչներ, փոշեկուլներ, տեսախցիկներ, ֆոտոխցիկներ, տեղորոշիչ սարքեր (GPS) և այլն), այդ թվում՝</t>
  </si>
  <si>
    <t>Կահույք (ներառյալ` գրասեղաններ, սեղաններ, աթոռներ, բազկաթոռներ, փափուկ կահույք, զգեստապահարաններ, գրապահարաններ, գրադարակներ, չհրկիզվող պահարաններ և այլն), գորգեր, հայելիներ, այդ թվում՝</t>
  </si>
  <si>
    <t xml:space="preserve">Այլ գրասենյակային և տնտեսական գույք </t>
  </si>
  <si>
    <t>Հաշվեկշռային (մնացորդային)  արժեքը /հազ.դրամ/</t>
  </si>
  <si>
    <t>Մաշվածությունը (%)</t>
  </si>
  <si>
    <t>(ՀՀ ֆինանսների նախարարի 2016թ. հունվարի 8-ի «Հանրային հատվածի կազմակերպություններում նոր հիմնական միջոցների և սկզբնական արժեքով հաշվառվող կենսաբանական ակտիվների մաշվածության հաշվարկման նորմատիվային օգտակար ծառայության ժամկետները հաստատելու մասին» N 3-Ն հրաման, Հավելված 1)</t>
  </si>
  <si>
    <t>Առկա սարքավորումներ և գույք</t>
  </si>
  <si>
    <t>Ընդամենը տարեկան աշխատավարձի ֆոնդ (4111)</t>
  </si>
  <si>
    <t>Քննչական կոմիտեի ինքնավար պաշտոն զբաղեցնող անձինք</t>
  </si>
  <si>
    <t>այդ թվում թափուր հաստիքների թիվը</t>
  </si>
  <si>
    <t>2022թ.  փաստացի  կատարողական</t>
  </si>
  <si>
    <t xml:space="preserve"> 2023թ. հաստատված բյուջե</t>
  </si>
  <si>
    <t>Տնտեսագիտական դասակարգման հոդվածների գծով 2024թ. ընթացքում նախատեսվող ծախսերը՝ ըստ ապրանքների և ծառայությունների տեսակների</t>
  </si>
  <si>
    <t>2023թ. հաստատված</t>
  </si>
  <si>
    <t>2024թ. բյուջետային հայտ</t>
  </si>
  <si>
    <t>2024թ. բյուջետային հայտի և  2023թ. հաստատվածի տարբերությունը</t>
  </si>
  <si>
    <t>2022թ. փաստացի</t>
  </si>
  <si>
    <t xml:space="preserve"> 2023թ. ընթացքում գնման ենթակա </t>
  </si>
  <si>
    <t xml:space="preserve">2026թ. </t>
  </si>
  <si>
    <t xml:space="preserve">Ըստ պաշտոնային դրույքաչափի հաշվարկվող տարեկան աշխատավարձի ֆոնդ  </t>
  </si>
  <si>
    <t>Ընդամենը պարգևատրման ֆոնդ` 16 % (4112+4113)</t>
  </si>
  <si>
    <t>Պաշտոն զբաղեցնող անձի տարիքը (ծննդյան տարեթիվ)</t>
  </si>
  <si>
    <t>Տվյալ պաշտոնում աշխատանքային ստաժը /2026թ. հուլիսի 1-ի դրությամբ/  (տարի/ամիս)</t>
  </si>
  <si>
    <t xml:space="preserve">Գործակից /2026թ. հուլիսի 1-ի դրությամբ/  </t>
  </si>
  <si>
    <r>
      <t>*</t>
    </r>
    <r>
      <rPr>
        <sz val="10"/>
        <color indexed="8"/>
        <rFont val="GHEA Grapalat"/>
        <family val="3"/>
      </rPr>
      <t>Աշխատավարձի հաշվարկման համար բազային աշխատավարձի չափը կազմում է 83,200.0  դրամ:</t>
    </r>
  </si>
  <si>
    <t>Ընդամենը ամսական աշխատա վարձի ֆոնդ  /ս.16+ս.17+ս.18/</t>
  </si>
  <si>
    <t>Ընդամենը ամսական աշխատավարձի ֆոնդ  /ս.9+ս10+ս.11/</t>
  </si>
  <si>
    <t>Ընդամենը ամսական աշխատավարձի ֆոնդ</t>
  </si>
  <si>
    <t xml:space="preserve">Ընդամենը ամսական աշխատավարձի ֆոնդ </t>
  </si>
  <si>
    <t>Ընդամենը ամսական աշխատա վարձի ֆոնդ  /ս.21+ս.22+ս.23/</t>
  </si>
  <si>
    <t>Առկա ավտոմեքենաներ</t>
  </si>
  <si>
    <t>Քրեակատարողական ծառայողներ</t>
  </si>
  <si>
    <t>Նամակներ</t>
  </si>
  <si>
    <t>հասարակ</t>
  </si>
  <si>
    <t>պատվիրված</t>
  </si>
  <si>
    <t>գնահատված</t>
  </si>
  <si>
    <t>Փաթեթներ</t>
  </si>
  <si>
    <t>ՄԻՆՉԵՎ 20 ԿԳ ՔԱՇՈՎ ԾԱՆՐՈՑՆԵՐԻ ԱՌԱՔՈՒՄ</t>
  </si>
  <si>
    <t>ՆԱՄԱԿԱԳՐԱԿԱՆ ԹՂԹԱԿՑՈՒԹՅԱՆ ԱՌԱՔՈՒՄ</t>
  </si>
  <si>
    <t>2024թ. հայտ</t>
  </si>
  <si>
    <t>2023թ. պլանավորված</t>
  </si>
  <si>
    <t xml:space="preserve">2022թ. փաստացի </t>
  </si>
  <si>
    <t xml:space="preserve"> 2024թ. հայտի և 2023թ. պլանավորվածի տարբերությունը</t>
  </si>
  <si>
    <t>Առաքանու տեսակը</t>
  </si>
  <si>
    <t>ՀՀ  հանրային իշխանության մարմինների 2024 թվականի փոստային կապի ծառայությունների ծախսի</t>
  </si>
  <si>
    <t>ԱՅԼ ՓՈՍՏԱՅԻՆ ԾԱՌԱՅՈՒԹՅՈՒՆ</t>
  </si>
  <si>
    <t>4.1.</t>
  </si>
  <si>
    <t>Սուրհանդակային</t>
  </si>
  <si>
    <t>/թվարկել այլ պայմանագրային փոստային ծառայությունները/</t>
  </si>
  <si>
    <t xml:space="preserve">Բաժանորդային վարձ (ամսական) Օպերատոր 1 </t>
  </si>
  <si>
    <t xml:space="preserve">Բաժանորդային վարձ (ամսական) Օպերատոր 2 </t>
  </si>
  <si>
    <t>Ընդամենը բաժանորդային վարձ (տարեկան)</t>
  </si>
  <si>
    <r>
      <t xml:space="preserve">ԸՆԴԱՄԵՆԸ                        (ներառյալ՝ </t>
    </r>
    <r>
      <rPr>
        <i/>
        <sz val="10"/>
        <rFont val="GHEA Grapalat"/>
        <family val="3"/>
      </rPr>
      <t>ԱԱՀ)</t>
    </r>
  </si>
  <si>
    <t>Միջքաղաքային, բջջային, միջազգային խոսակցությունների վճար</t>
  </si>
  <si>
    <t>միջքաղաքային և դեպի բջջային ցանց ելից  խոսակցությունների ամսական սահմանաչափ</t>
  </si>
  <si>
    <t>միջազգային ելից հեռախոսային  խոսակցությունների ամսական սահմանաչափ</t>
  </si>
  <si>
    <t>Ընդամենը  (տարեկան)</t>
  </si>
  <si>
    <t>Կապի այլ պայմանագրային ծառայություններ</t>
  </si>
  <si>
    <t>Փոստային կապ</t>
  </si>
  <si>
    <t>Տարածքային մարմնի ղեկավար</t>
  </si>
  <si>
    <t>Հանրային իշխանության մարմնի ղեկավար</t>
  </si>
  <si>
    <t>Ղեկավարի տեղակալ, օրենքով ստեղծված ինքնավար մարինների՝ (հանձնաժողովների, կոմիտեների) անդամներ</t>
  </si>
  <si>
    <t>Հիմնական և աջակցող մասնագիտական ստորաբաժանման  ղեկավար (վարչության, բաժնի պետ), առանց արտաքին կապերի ստորաբաժանման</t>
  </si>
  <si>
    <t>Հիմնական և աջակցող մասնագիտական ստորաբաժանում (վարչություն, բաժին), առանց արտաքին կապերի ստորաբաժանման</t>
  </si>
  <si>
    <t>Արտաքին կապերի ստորաբաժանում (վարչություն, բաժին)</t>
  </si>
  <si>
    <t>Գրասենյակի (գործակալության) ղեկավար</t>
  </si>
  <si>
    <t>Գրասենյակ (գործակալություն)</t>
  </si>
  <si>
    <t xml:space="preserve">Տարածքային մարմին </t>
  </si>
  <si>
    <t>Տեխնիկական սպասարկողներ</t>
  </si>
  <si>
    <t>ՀՀ  հանրային իշխանության մարմինների 2024 թվականի  կապի ծառայությունների  վճարների</t>
  </si>
  <si>
    <t>(դրամ, 
ներառյալ ԱԱՀ)</t>
  </si>
  <si>
    <t>Ընդամենը տարեկան 
 ծախսեր (դրամ)</t>
  </si>
  <si>
    <t xml:space="preserve">ԸՆԴԱՄԵՆԸ </t>
  </si>
  <si>
    <t>Ընդամենը ծառայողական ավտոմեքենաների սահմանաքանակը*</t>
  </si>
  <si>
    <t xml:space="preserve">Ընդամենը առկա ավտոմեքենաների քանակը` </t>
  </si>
  <si>
    <t>Ղեկավարներին սպասարկող ծառայողական ավտոմեքենաները</t>
  </si>
  <si>
    <t>Մարմնին սպասարկող  ավտոմեքենաները</t>
  </si>
  <si>
    <t>Հատուկ նշանակության մեքենաներ և տրանսպորտային սարքավորումներ</t>
  </si>
  <si>
    <r>
      <t xml:space="preserve">Ում է սպասարկում 
(նշել ղեկավարի պաշտոնը կամ ստորաբաժանման անվանումը)
</t>
    </r>
    <r>
      <rPr>
        <b/>
        <i/>
        <sz val="10"/>
        <color indexed="10"/>
        <rFont val="GHEA Grapalat"/>
        <family val="3"/>
      </rPr>
      <t>ենթակա է պարտադիր լրացման</t>
    </r>
  </si>
  <si>
    <t xml:space="preserve">ՀՀ հանրային իշխանության մարմինների ծառայողական ավտոմեքենաների վերաբերյալ   </t>
  </si>
  <si>
    <t>ՀՀ  հանրային իշխանության  մարմինների 2024 թվականի էլեկտրաէներգիայի ծախսերի /բացառությամբ ջեռուցման/</t>
  </si>
  <si>
    <t>ՀՀ  հանրային իշխանության մարմինների վարչական շենքերի և շինությունների 2024 թվականի ջեռուցման համար անհրաժեշտ էլեկտրաէներգիայի ծախսերի</t>
  </si>
  <si>
    <t>ՀՀ հանրային իշխանության մարմինների տեխնիկայի միջոցների և գրասենյակային գույքի վերաբերյալ</t>
  </si>
  <si>
    <t>Հանրային իշխանության մարմնի կողմից զբաղեցված տարածքների</t>
  </si>
  <si>
    <t>ՀՀ հանրային իշխանության մարմնի կողմից զբաղեցված շինությունների/տարածքների ընթացիկ նորոգման աշխատանքներ</t>
  </si>
  <si>
    <t xml:space="preserve"> քաղաքացիական (պետական և այլ) ծառայողների մասնագիտական վերապատրաստումների գծով ծախսերի</t>
  </si>
  <si>
    <t>ՀՀ հանրային իշխանության մարմնի կառուցվածքի և աշխատողների թվի վերաբերյալ</t>
  </si>
  <si>
    <t>Ընդամենը տարեկան 
 ծախսեր (դրամ) 
(ս.6 * ս.7)</t>
  </si>
  <si>
    <t>Ընդամենը տարեկան 
 ծախսեր (դրամ) 
(ս.9 * ս.10)</t>
  </si>
  <si>
    <t>Տարբերության հիմնավորումներ</t>
  </si>
  <si>
    <t xml:space="preserve">Սեփականության կամ անհատույց օգտագործման իրավունքով զբաղեցրած տարածքների մակերեսը </t>
  </si>
  <si>
    <r>
      <t>1մ</t>
    </r>
    <r>
      <rPr>
        <u val="single"/>
        <vertAlign val="superscript"/>
        <sz val="12"/>
        <rFont val="GHEA Grapalat"/>
        <family val="3"/>
      </rPr>
      <t>2</t>
    </r>
    <r>
      <rPr>
        <u val="single"/>
        <sz val="12"/>
        <rFont val="GHEA Grapalat"/>
        <family val="3"/>
      </rPr>
      <t>-ին՝ 800 դրամ սկզբունքով</t>
    </r>
  </si>
  <si>
    <r>
      <t>Բաժանորդային վարձ</t>
    </r>
    <r>
      <rPr>
        <sz val="9"/>
        <color indexed="10"/>
        <rFont val="GHEA Grapalat"/>
        <family val="3"/>
      </rPr>
      <t>*</t>
    </r>
  </si>
  <si>
    <t>(ս.4 x բաժանորդային վարձ x 12ամիս) դրամ</t>
  </si>
  <si>
    <t>(ս.6 x բաժանորդային վարձ x 12ամիս) դրամ</t>
  </si>
  <si>
    <t>* Բաժանորդային վարձի սակագինը ըստ կապի օպերատորի հետ կնքված պայմանագրի (ՀՀ դրամով` առանց ԱԱՀ-ի)</t>
  </si>
  <si>
    <t>Նամականիշներ</t>
  </si>
  <si>
    <t>մեկ առաքանու/ նամականիշի 
միջին սակագիը (ս.5 / ս.3)</t>
  </si>
  <si>
    <t xml:space="preserve">մեկ առաքանու/ նամականիշի 
միջին սակագիը </t>
  </si>
  <si>
    <t xml:space="preserve"> քանակը</t>
  </si>
  <si>
    <t xml:space="preserve">մեկ առաքանու/ նամականիշի  
միջին սակագիը </t>
  </si>
  <si>
    <t>Պաշտոն զբաղեցնող անձի սեռը  (արական/ իգական)</t>
  </si>
  <si>
    <t>Միավորի գինը /դրամ/</t>
  </si>
  <si>
    <t xml:space="preserve">Ընդհանուր գումարը /հազ.դրամ/            </t>
  </si>
  <si>
    <t>Ձև N 4</t>
  </si>
  <si>
    <t>Նշել մարմնի կանոնադրությունը և  կառուցվածքը  հաստատելու մասին համապատասխան իրավական ակտի համարը և ընդունման ամսաթիվը</t>
  </si>
  <si>
    <t>Հայտատուի  անվանումը ՀՀ միջուկային անվտանգության կարգավորման կոմիտե</t>
  </si>
  <si>
    <t>04</t>
  </si>
  <si>
    <t>03</t>
  </si>
  <si>
    <t>1054</t>
  </si>
  <si>
    <t xml:space="preserve"> էլեկտրականության բաշխում</t>
  </si>
  <si>
    <t xml:space="preserve"> խմելու ջրի բաշխում</t>
  </si>
  <si>
    <t>փոստային ծառայություններ` կապված նամակների հետ</t>
  </si>
  <si>
    <t xml:space="preserve"> հանրային հեռախոսային ծառայություններ</t>
  </si>
  <si>
    <t xml:space="preserve"> բջջային հեռախոսների ծառայություններ</t>
  </si>
  <si>
    <t xml:space="preserve"> տվյալների փոխանցման ծառայություններ</t>
  </si>
  <si>
    <t xml:space="preserve"> դոմենային անվանումներ</t>
  </si>
  <si>
    <t xml:space="preserve"> փոխադրամիջոցների հետ կապված ապահովագրական ծառայություններ</t>
  </si>
  <si>
    <t xml:space="preserve"> հաշվապահական համակարգչային ծրագրային փաթեթների մշակման ծառայություններ</t>
  </si>
  <si>
    <t xml:space="preserve"> աշխատաժամանակի հաշվարկի կամ մարդկային ռեսուրսների կառավարման համակարգչային ծրագրային փաթեթների մշակման ծառայություններ</t>
  </si>
  <si>
    <r>
      <t xml:space="preserve">Տեղեկատվական տեխնոլոգիաների ծրագրային ապահովում </t>
    </r>
    <r>
      <rPr>
        <sz val="9"/>
        <color indexed="10"/>
        <rFont val="GHEA Grapalat"/>
        <family val="3"/>
      </rPr>
      <t xml:space="preserve">Մալբրի   </t>
    </r>
    <r>
      <rPr>
        <sz val="9"/>
        <rFont val="GHEA Grapalat"/>
        <family val="3"/>
      </rPr>
      <t xml:space="preserve">   </t>
    </r>
  </si>
  <si>
    <t>Ներկայացուցչական ծախսեր</t>
  </si>
  <si>
    <t>փորձաքննության ծառայություններ</t>
  </si>
  <si>
    <t xml:space="preserve"> արխիվացման ծառայություններ</t>
  </si>
  <si>
    <t>ամբուլատոր-բժշկական ծառայություններ</t>
  </si>
  <si>
    <t xml:space="preserve"> ավտոմեքենաների պահպանման ծառայություններ</t>
  </si>
  <si>
    <t xml:space="preserve"> համակարգչային սարքերի պահպանման և վերանորոգման ծառայություններ</t>
  </si>
  <si>
    <t>նոթատետր</t>
  </si>
  <si>
    <t>գրիչ գնդիկավոր</t>
  </si>
  <si>
    <t>սոսնձամատիտ գրասենյակային</t>
  </si>
  <si>
    <t xml:space="preserve"> ուղղիչ գրիչներ</t>
  </si>
  <si>
    <t xml:space="preserve"> թղթապանակ</t>
  </si>
  <si>
    <t xml:space="preserve"> թղթապանակ, արագակար, թղթյա</t>
  </si>
  <si>
    <t xml:space="preserve"> թղթապանակ, թելով, թղթյա </t>
  </si>
  <si>
    <t xml:space="preserve"> թղթապանակ, կոշտ կազմով</t>
  </si>
  <si>
    <t>թուղթ, A4 ֆորմատի</t>
  </si>
  <si>
    <t xml:space="preserve"> թուղթ նշումների համար, սոսնձվածքով</t>
  </si>
  <si>
    <t>Կենցաղային և հանրային սննդի նյութեր</t>
  </si>
  <si>
    <t xml:space="preserve"> աշխատանքային ձեռնոցներ</t>
  </si>
  <si>
    <t xml:space="preserve"> պոլիէթիլենային պարկ, աղբի համար</t>
  </si>
  <si>
    <t>տնտեսող լամպեր</t>
  </si>
  <si>
    <t>զուգարանի թուղթ, ռուլոնով</t>
  </si>
  <si>
    <t>օդի թարմացուցիչներ</t>
  </si>
  <si>
    <t>Հեղուկ օճառ</t>
  </si>
  <si>
    <t>Ախտահանող հեղուկ սանհանգույցի համար</t>
  </si>
  <si>
    <t>Հատակի մաքրման նյութեր</t>
  </si>
  <si>
    <t>Շենքերի և կառույցնորի ընթացիկ նորոգում և պահպանում</t>
  </si>
  <si>
    <t>ՀՀ միջուկային անվտանգության կարգավորման կոմիտե</t>
  </si>
  <si>
    <t>թվային հեռուստատեսություն</t>
  </si>
  <si>
    <t>Ներքին աուդիտորական ծառայություններ</t>
  </si>
  <si>
    <t>Բենզին ռեգուլյար</t>
  </si>
  <si>
    <t>թանաքի բարձիկներ</t>
  </si>
  <si>
    <t>թանաք, կնիքի բարձիկի համար</t>
  </si>
  <si>
    <t>սրիչներ</t>
  </si>
  <si>
    <t>սկոչ</t>
  </si>
  <si>
    <t>փաստաթղթերի համար նախատեսված, սեղանի վրա</t>
  </si>
  <si>
    <t>թղթադարակ,հարկերով, պլաստմասե</t>
  </si>
  <si>
    <t>կարիչի մետաղալարե կապեր, մեծ</t>
  </si>
  <si>
    <t>Կարիչ 50 ավելի թերթի համար</t>
  </si>
  <si>
    <t>Դակիչ մեծ</t>
  </si>
  <si>
    <t>ապակարիչ</t>
  </si>
  <si>
    <t xml:space="preserve"> ֆլեշ հիշողություն, 32GB</t>
  </si>
  <si>
    <t>Ծրար</t>
  </si>
  <si>
    <t xml:space="preserve"> ՀՀ միջուկային անվտանգության կարգավորման կոմիտե</t>
  </si>
  <si>
    <t>համացանցային ծառայություններ մատուցողներ</t>
  </si>
  <si>
    <t xml:space="preserve">Համակարգիչների քանակի մեջ /թվով 53/ ընդգրկված են՝ համակարգիչներ -44, վթարային հակազդման կենտրոնի տեխնոլոգիաների գնահատման ճառագայթային անվտանգության խմբերի աշխատասենյակի համակարգիչները և կոմիտեի սերվերները /թվով 5/, ցանցային տպիչները /թվով 3/ և պատճենահանող սարք/թվով 1/։ </t>
  </si>
  <si>
    <t>Հայտատուի  անվանումը     ՀՀ միջուկային անվտանգության կարգավորման կոմիտե</t>
  </si>
  <si>
    <t xml:space="preserve">Շիրակի մարզ </t>
  </si>
  <si>
    <t>Իոնացվող ճառագայթային աղբյուրներ օգտագործող օբյեկտներում տեսչական ստուգումներ</t>
  </si>
  <si>
    <t xml:space="preserve">ՀՀ Սյունիքի մարզ </t>
  </si>
  <si>
    <t>Շրջակա միջավայրի ճառագայթային մոնիտորինգ</t>
  </si>
  <si>
    <t>ՀՀ Լոռու մարզ</t>
  </si>
  <si>
    <t>ՀՀ Գեղարքունիքի մարզ</t>
  </si>
  <si>
    <t>Ա/մեքենա NISSAN ALTIMA-148492Շ</t>
  </si>
  <si>
    <t>Կոմիտեի նախագահ</t>
  </si>
  <si>
    <t>Ա/մեքենա «Տոյոտա Քորոլա»</t>
  </si>
  <si>
    <t>Կոմիտեի նախագահի  տեղակալ (օգտագործվում է որպես հերթապահ ավտոմեքենա)</t>
  </si>
  <si>
    <t>Կոմիտեի գլխավոր քարտուղար(օգտագործվում է որպես հերթապահ ավտոմեքենա)</t>
  </si>
  <si>
    <t xml:space="preserve">ՀՀ միջուկային անվտանգության կարգավորման կոմիտե </t>
  </si>
  <si>
    <t>ք․ Երևան, Տիգրան Մեծի 4</t>
  </si>
  <si>
    <t>ՀՀ կառավարության 29.05.2009թ․ թիվ 586-Ա և 06.08.2009թ․ թիվ 897-Ա 03,06,2010թ․ թիվ 690-Ա  որոշումներ</t>
  </si>
  <si>
    <t>ք․Երևան, Տիգրան Մեծի 4</t>
  </si>
  <si>
    <t>Միջուկային անվտանգության վարչություն</t>
  </si>
  <si>
    <t>Ճառագայթային անվտանգության վարչություն</t>
  </si>
  <si>
    <t>Լիցենզավորման բգաժին</t>
  </si>
  <si>
    <t>Տեխնիկական բաժին</t>
  </si>
  <si>
    <t>Միջուկային տեղեկատվությյան և միջազգային համագործակցության բաժին</t>
  </si>
  <si>
    <t>Անձնակազմի կառավարման բաժին</t>
  </si>
  <si>
    <t>Ֆինանսահաշվապահական բաժին</t>
  </si>
  <si>
    <t>Միջուկային օրենսդրության բաժին</t>
  </si>
  <si>
    <t>ՀՀ կառավարության 29.05.2009թ․ թիվ 586-Ա,                               06.08.2009թ․ թիվ 897-Ա,                                                     03.06.2010թ․ թիվ 690-Ա  որոշումներ</t>
  </si>
  <si>
    <t>Գեղարքունիկքի մարզ</t>
  </si>
  <si>
    <t>Տեսչական ստուգումներ</t>
  </si>
  <si>
    <t>Արարատի, Սյունիքի մարզեր</t>
  </si>
  <si>
    <t>Արագածոտնի մարզ</t>
  </si>
  <si>
    <t>Կոտայքի մարզ</t>
  </si>
  <si>
    <t>Արմավիրի մարզ</t>
  </si>
  <si>
    <t>ՀաԷկ</t>
  </si>
  <si>
    <t>Թափուր</t>
  </si>
  <si>
    <t>Խաչատուր Խաչիկյան</t>
  </si>
  <si>
    <t xml:space="preserve">Նախագահի արաջին տեղակալ </t>
  </si>
  <si>
    <t>Վահե Գրիգորյան</t>
  </si>
  <si>
    <t xml:space="preserve">Նախագահի տեղակալ </t>
  </si>
  <si>
    <t>Գագիկ Մարկոսյան</t>
  </si>
  <si>
    <t xml:space="preserve">Նախագահի խորհրդական </t>
  </si>
  <si>
    <t>Լևոն Հովհաննիսյան</t>
  </si>
  <si>
    <t>Վարչության պետ-պետական տեսուչ</t>
  </si>
  <si>
    <t>Համակարգերի և կոմպոնենտների բաժին</t>
  </si>
  <si>
    <t>Բաժնի պետ-պետական տեսուչ</t>
  </si>
  <si>
    <t>Գլխավոր պետական տեսուչ</t>
  </si>
  <si>
    <t>Ռեակտորի անվտանգության բաժին</t>
  </si>
  <si>
    <t>Արմեն Թադևոսյան</t>
  </si>
  <si>
    <t>Հրաչյա Յավրոյան</t>
  </si>
  <si>
    <t>Ճառագայթային անվտանգության և պաշտպանության բաժին</t>
  </si>
  <si>
    <t>Արսեն Ալեքսանյան</t>
  </si>
  <si>
    <t>Մարիամ Պետրոսյան</t>
  </si>
  <si>
    <t>Արմեն Բաբայան</t>
  </si>
  <si>
    <t>Էլիզաբետ Ներսիսյան</t>
  </si>
  <si>
    <t>Ավագ  տեսուչ</t>
  </si>
  <si>
    <t>Ռադիակտիվ թափոնների բաժին</t>
  </si>
  <si>
    <t>Արտեմ Պետրոսյան</t>
  </si>
  <si>
    <t>Կարապետ Օհանյան</t>
  </si>
  <si>
    <t>Լիցենզավորման բաժին</t>
  </si>
  <si>
    <t>Աշոտ Վարդանյան</t>
  </si>
  <si>
    <t>Միջուկային տեղեկատվության և միջազգային                       համագործակցության բաժին</t>
  </si>
  <si>
    <t>Աննա Մելքումյան</t>
  </si>
  <si>
    <t>Բաժնի պետ</t>
  </si>
  <si>
    <t>Նատա Մնացականյան</t>
  </si>
  <si>
    <t>Միջուկային օրենսդրությքան  բաժին</t>
  </si>
  <si>
    <t>Արշալույս Կարմիրմիրուքյան</t>
  </si>
  <si>
    <t>Ավագ մասնագետ</t>
  </si>
  <si>
    <t>Ֆենյա Նավասարդյան</t>
  </si>
  <si>
    <t>Աննա Միքաելյան</t>
  </si>
  <si>
    <t>Վարդուշ Խաչատրյան</t>
  </si>
  <si>
    <t>Բաժնի պետ- գլխավոր հաշվապահ</t>
  </si>
  <si>
    <t>Գլխավոր տնտեսագետ</t>
  </si>
  <si>
    <t>Արամ Վարդանյան</t>
  </si>
  <si>
    <t>Վարորդ</t>
  </si>
  <si>
    <t>Մարիետտա Թամրազյան</t>
  </si>
  <si>
    <t>Հավաքարար</t>
  </si>
  <si>
    <t>արական</t>
  </si>
  <si>
    <t>իգական</t>
  </si>
  <si>
    <t>62-Խ-1</t>
  </si>
  <si>
    <t>62-Ղ1-1</t>
  </si>
  <si>
    <t>62-21.1-Ղ3-1</t>
  </si>
  <si>
    <t>62-21.1-Ղ4-1</t>
  </si>
  <si>
    <t>62-21.1-Մ2-1</t>
  </si>
  <si>
    <t>62-21.1-Մ2-2</t>
  </si>
  <si>
    <t>62-21.1-Մ2-3</t>
  </si>
  <si>
    <t>62-21.1-Մ2-4</t>
  </si>
  <si>
    <t>62-21.1-Մ2-5</t>
  </si>
  <si>
    <t>62-21.1-Մ2-6</t>
  </si>
  <si>
    <t>62-21.1-Ղ4-2</t>
  </si>
  <si>
    <t>62-21.1-Մ2-7</t>
  </si>
  <si>
    <t>62-21.1-Մ2-8</t>
  </si>
  <si>
    <t>62-21.1-Մ2-9</t>
  </si>
  <si>
    <t>62-21.2-Ղ3-1</t>
  </si>
  <si>
    <t>62-21.2-Մ2-1</t>
  </si>
  <si>
    <t>62-21.2-Մ2-2</t>
  </si>
  <si>
    <t>62-21.2-Մ2-3</t>
  </si>
  <si>
    <t>62-21.2-Մ2-4</t>
  </si>
  <si>
    <t>62-21.2-Մ3-1</t>
  </si>
  <si>
    <t>62-21.2-Ղ4-2</t>
  </si>
  <si>
    <t>62-21.2-Մ2-5</t>
  </si>
  <si>
    <t>62-21.3-Ղ4-1</t>
  </si>
  <si>
    <t>Ամալյա Պողոսյան</t>
  </si>
  <si>
    <t>62-21.3-Մ2-1</t>
  </si>
  <si>
    <t>Գագիկ Մկրչյան</t>
  </si>
  <si>
    <t>Վարազդատ Կիրակոսյան</t>
  </si>
  <si>
    <t>Գայանե Աղասարյան</t>
  </si>
  <si>
    <t>Գլխավոր մասնագետ</t>
  </si>
  <si>
    <t>62-21.4-Ղ4-1</t>
  </si>
  <si>
    <t>62-21.4-Մ2-1</t>
  </si>
  <si>
    <t>62-21.4-Մ2-2</t>
  </si>
  <si>
    <t>62-21.4-Մ2-3</t>
  </si>
  <si>
    <t>62-21.5-Ղ4-1</t>
  </si>
  <si>
    <t>62-21.5-Մ5-1</t>
  </si>
  <si>
    <t>62-21.6-Ղ4-1</t>
  </si>
  <si>
    <t>62-22.1-Ղ4-1</t>
  </si>
  <si>
    <t>62-22.1-Մ2-1</t>
  </si>
  <si>
    <t>Բարեվարքության հարցերով կազմակերպիչ</t>
  </si>
  <si>
    <t>62-22.2-Ղ4-1</t>
  </si>
  <si>
    <t>62-22.2-Մ2-2</t>
  </si>
  <si>
    <t>62-22.2-Մ2-1</t>
  </si>
  <si>
    <t>23.09.1970</t>
  </si>
  <si>
    <t>16.04.1978</t>
  </si>
  <si>
    <t>08.01.1952</t>
  </si>
  <si>
    <t>23.07.1982</t>
  </si>
  <si>
    <t>19.07.1985</t>
  </si>
  <si>
    <t>17.04.1967</t>
  </si>
  <si>
    <t>17.11.1974</t>
  </si>
  <si>
    <t>30.08.1990</t>
  </si>
  <si>
    <t>18.11.1963</t>
  </si>
  <si>
    <t>28.04.1976</t>
  </si>
  <si>
    <t>21.01.1979</t>
  </si>
  <si>
    <t>31.08.1962</t>
  </si>
  <si>
    <t>29.03.1966</t>
  </si>
  <si>
    <t>07.11.1962</t>
  </si>
  <si>
    <t>21.09.1961</t>
  </si>
  <si>
    <t>11.09.1984</t>
  </si>
  <si>
    <t>08.12.1964</t>
  </si>
  <si>
    <t>25.05.1974</t>
  </si>
  <si>
    <t>09.12.1984</t>
  </si>
  <si>
    <t>20.05.1960</t>
  </si>
  <si>
    <t>19.06.1987</t>
  </si>
  <si>
    <t>20.12.1983</t>
  </si>
  <si>
    <t>08.07.1973</t>
  </si>
  <si>
    <t>20.07.1960</t>
  </si>
  <si>
    <t>11.08.1970</t>
  </si>
  <si>
    <t>07.09.1960</t>
  </si>
  <si>
    <t xml:space="preserve">Վարդանուշ Ղազարյան </t>
  </si>
  <si>
    <t>02/02</t>
  </si>
  <si>
    <t>01/02</t>
  </si>
  <si>
    <t>05/11</t>
  </si>
  <si>
    <t>00/07</t>
  </si>
  <si>
    <t>02/00</t>
  </si>
  <si>
    <t>00/09</t>
  </si>
  <si>
    <t>10/04</t>
  </si>
  <si>
    <t>01/10</t>
  </si>
  <si>
    <t>13.04</t>
  </si>
  <si>
    <t>04/00</t>
  </si>
  <si>
    <t>00/11</t>
  </si>
  <si>
    <t>01/08</t>
  </si>
  <si>
    <t>00/10</t>
  </si>
  <si>
    <t>13/07</t>
  </si>
  <si>
    <t>14/07</t>
  </si>
  <si>
    <t>04/07</t>
  </si>
  <si>
    <t>06/05</t>
  </si>
  <si>
    <t>05/00</t>
  </si>
  <si>
    <t>13/00</t>
  </si>
  <si>
    <t>Առողջության համար վնասակար աշխատանքի կատարման  համար հավելում /վտանգավոր/</t>
  </si>
  <si>
    <t>Այլ հավելա վճարներ/գաղտնիության  և դասային աստիճանի համար/</t>
  </si>
  <si>
    <t>06/11</t>
  </si>
  <si>
    <t>01/07</t>
  </si>
  <si>
    <t>01/09</t>
  </si>
  <si>
    <t>03/00</t>
  </si>
  <si>
    <t>11/04</t>
  </si>
  <si>
    <t>02/10</t>
  </si>
  <si>
    <t>14/04</t>
  </si>
  <si>
    <t>01/11</t>
  </si>
  <si>
    <t>02/08</t>
  </si>
  <si>
    <t>15/07</t>
  </si>
  <si>
    <t>05/07</t>
  </si>
  <si>
    <t>62-21.6-Մ4-1</t>
  </si>
  <si>
    <t>07/05</t>
  </si>
  <si>
    <t>07/00</t>
  </si>
  <si>
    <t>06/00</t>
  </si>
  <si>
    <t>14/00</t>
  </si>
  <si>
    <t>03/02</t>
  </si>
  <si>
    <t>07/11</t>
  </si>
  <si>
    <t>02/07</t>
  </si>
  <si>
    <t>02/09</t>
  </si>
  <si>
    <t>12/04</t>
  </si>
  <si>
    <t>03/10</t>
  </si>
  <si>
    <t>15/04</t>
  </si>
  <si>
    <t>02/11</t>
  </si>
  <si>
    <t>03/08</t>
  </si>
  <si>
    <t>16/07</t>
  </si>
  <si>
    <t>06/07</t>
  </si>
  <si>
    <t>08/05</t>
  </si>
  <si>
    <t>08/00</t>
  </si>
  <si>
    <t>15/00</t>
  </si>
  <si>
    <t>04/02</t>
  </si>
  <si>
    <t>08/11</t>
  </si>
  <si>
    <t>03/07</t>
  </si>
  <si>
    <t>03/09</t>
  </si>
  <si>
    <t>13/04</t>
  </si>
  <si>
    <t>04/10</t>
  </si>
  <si>
    <t>16/04</t>
  </si>
  <si>
    <t>03/11</t>
  </si>
  <si>
    <t>04/08</t>
  </si>
  <si>
    <t>17/07</t>
  </si>
  <si>
    <t>07/07</t>
  </si>
  <si>
    <t>09/05</t>
  </si>
  <si>
    <t>09/00</t>
  </si>
  <si>
    <t>16/00</t>
  </si>
  <si>
    <t>**</t>
  </si>
  <si>
    <t>11001..</t>
  </si>
  <si>
    <t>Միջուկային և ճառագայթային անվտանգության կարգավորում</t>
  </si>
  <si>
    <t xml:space="preserve">էլեկտրոնային փոստով, Mulberry    համակարգով  նամակաների հիմնական քանակի  առաքում </t>
  </si>
  <si>
    <t>Համակարգիչ Dell OptiPlex 390 Desktop, Intel Core I3-2120 Processor</t>
  </si>
  <si>
    <t>լրակազմ</t>
  </si>
  <si>
    <t>Համակարգիչ HP 400G3PD MT i5-6500 4b 1TB/Y5P94EA</t>
  </si>
  <si>
    <t>Համակարգիչ T1P46AW  HPEliteDesk800G2SFFi76700500G8</t>
  </si>
  <si>
    <t>Համակարգիչ T4R71EA HP 400G3PD SFF I 56500 1TB 4.0G</t>
  </si>
  <si>
    <t>Համակարգիչ լրակազմով /DELL VOSTRO 420 TOWER COMPUTER/</t>
  </si>
  <si>
    <t xml:space="preserve">Համակարգիչ, Մոնիտոր, Անխափան սնուցման սարք </t>
  </si>
  <si>
    <t xml:space="preserve">Համակարգիչ` լրակազմով  DELL Precision T3400int. </t>
  </si>
  <si>
    <t>Համակարգիչ` լրակազմով /Էկրան, պրոցեսոր, ստեղնաշար/</t>
  </si>
  <si>
    <t>Սերվեր</t>
  </si>
  <si>
    <t>Սերվեր Dell PowerEdge R220 լրակազմով</t>
  </si>
  <si>
    <t>Համակարգիչ, Տպիչ,Անխափան սնուցման սարք,Սկաներ,ՙԱրաքս 3PCI՚ սարք, Հիշողության սարք</t>
  </si>
  <si>
    <t>Համակարգիչ Intel Core i7-3770</t>
  </si>
  <si>
    <t>ՍԵրվեր Dell Pover Edge R210 II</t>
  </si>
  <si>
    <t>ՍԵրվեր Dell Pover Edge R310 II</t>
  </si>
  <si>
    <t>Սերվեր DELL Poweredge 2950</t>
  </si>
  <si>
    <t>Նոութբուք Dell Precision M6700</t>
  </si>
  <si>
    <t>հատ</t>
  </si>
  <si>
    <t>HP DV6T Series Laptop Computer</t>
  </si>
  <si>
    <t>Մոնիթոր Dell Ultrasharp U2212HM 54,5 LED Monitor V</t>
  </si>
  <si>
    <t>Մոնիտոր M1N99AA HP EliteDisplay E240 Monitor</t>
  </si>
  <si>
    <t>Մոնիտոր Philips 23.6 “LCD Monitor 243V5QSBA/00</t>
  </si>
  <si>
    <t>Dell 1610HD Projector Replacement Lamp</t>
  </si>
  <si>
    <t>ԱՍՍ-ի մարտկոց APC Symmetra LX Battery Module, SYBT</t>
  </si>
  <si>
    <t>Dell 1610HD Projector, Dell  Projector Remote Cont</t>
  </si>
  <si>
    <t>Ինֆորմացիայի պահպանման ցանցային կրիչ QNAP TS-231 N</t>
  </si>
  <si>
    <t>Օպերատիվ հիշողություն DDR4 4Gb Kingston</t>
  </si>
  <si>
    <t>Ցանցային պաշտպանիչ սարք ASA5512-FPWR-K9 ASA 5512-X</t>
  </si>
  <si>
    <t>Մոնիտորներ</t>
  </si>
  <si>
    <t>Ֆաքս Fax Panasonic KX-ST983</t>
  </si>
  <si>
    <t>HP Officejet 7000 Wide Format Printer</t>
  </si>
  <si>
    <t>Panasonik KX-FLM661 Fax Machine</t>
  </si>
  <si>
    <t>Scanner HP 5590Digital Flatbed</t>
  </si>
  <si>
    <t>HP Scanjet N 6310 Scanner</t>
  </si>
  <si>
    <t>Սկաներ GT2500</t>
  </si>
  <si>
    <t>Պատճենահանման մեքենա Xerox WC 5016 A3 MON</t>
  </si>
  <si>
    <t>Պատճենահանման սարք</t>
  </si>
  <si>
    <t xml:space="preserve">Բազմաֆունկցիոնալ սարք HP Laser Jet 9040dn Printer </t>
  </si>
  <si>
    <t>Ճառագայթային տպիչ</t>
  </si>
  <si>
    <t>Տպող սարք  LG 1100</t>
  </si>
  <si>
    <t>Տպիչ սարք MF 4010</t>
  </si>
  <si>
    <t>Տպիչ Printer HP LJ Pro400 M402 dn</t>
  </si>
  <si>
    <t xml:space="preserve">Կոշտ սկավառակ NAS HDD ST2000VN000, SATA 6Gb/s </t>
  </si>
  <si>
    <t>Անլար հասանելիության կետ AIR-ANT2535SDW-R=2.4 GHz5</t>
  </si>
  <si>
    <t>DELL ATSN MODEL 7000240-0003</t>
  </si>
  <si>
    <t>Սվիչ D-link DGS-1024D 10/100/1000 24 port rack mou</t>
  </si>
  <si>
    <t>APC Symmetra LX 4kVA Battery Module SYBT5</t>
  </si>
  <si>
    <t>Սվիչ Dlink DGS 1210-48</t>
  </si>
  <si>
    <t>Սվիչ Dlink DGS 1210-52</t>
  </si>
  <si>
    <t>Անլար հասանելիության կետ AIR-CAP2702E-E-K9 802.11a</t>
  </si>
  <si>
    <t>Ուժային մոդուլ APC Symmetra LX Power Module, SYPM4</t>
  </si>
  <si>
    <t>Անլար հասանելիության կետ AIR AP2702E-UX-WLC Mobiit</t>
  </si>
  <si>
    <t>Գամմա Արձանագրիչ համակարգ անհրաժեշտ բոլոր սարքերով</t>
  </si>
  <si>
    <t>կոմպլ</t>
  </si>
  <si>
    <t>Գամմա արձանագրիչի աշխատանքի համար անհրաժեշտ օգնող սարքեր, տեղադրման հարմարանքներ</t>
  </si>
  <si>
    <t>Տվյալների կենտրոնական և կառավարման համակարգ, սերվեր</t>
  </si>
  <si>
    <t xml:space="preserve">Մոնիթորինգի և կառավարման կենտրոն,սերվեր </t>
  </si>
  <si>
    <t>Արտաքին արևային պանել</t>
  </si>
  <si>
    <t>Գամմա Արձանագրիչ համակարգի Մեծ ցուցադրման էկրան</t>
  </si>
  <si>
    <t xml:space="preserve">Eu-152 Թեստավորման սարքեր, բոլոր տիպերի Գամմա ճառագայթման արձանագրման համար </t>
  </si>
  <si>
    <t>Տվիչների տեղադրման հարմարանքներ</t>
  </si>
  <si>
    <t>Ճառագայթային աղբյուրներ նույնականացնող սարք</t>
  </si>
  <si>
    <t>Ջրի նստվածքների նմուշառման սարք</t>
  </si>
  <si>
    <t>Հողի նմուշառման սարք գլանաձև խողովակներ</t>
  </si>
  <si>
    <t>Հողի նմուշառման ժամանակ օգտագործվող պարագա</t>
  </si>
  <si>
    <t>Ջրի նմուշառման ժամանակ օգտագործվող պարագա</t>
  </si>
  <si>
    <t>Նմուշառման պլաստմասե տարա իր անկյունաձև երկարացման ձողով</t>
  </si>
  <si>
    <t>AT 1320C մոդելի գամմա սպեկտրոմետրիայի համակարգ</t>
  </si>
  <si>
    <t>Աթոռ</t>
  </si>
  <si>
    <t>Աթոռ /սև/</t>
  </si>
  <si>
    <t>Աթոռ գրասենյակային</t>
  </si>
  <si>
    <t>Աթոռ/IZO/</t>
  </si>
  <si>
    <t>Աթոռ/անիվով/</t>
  </si>
  <si>
    <t>Աթոռ/սև/</t>
  </si>
  <si>
    <t>Ամսագրի սեղանիկ</t>
  </si>
  <si>
    <t>Անկյուն</t>
  </si>
  <si>
    <t>Անվավոր աթոռ</t>
  </si>
  <si>
    <t>Բազաթոռ/անվավոր/</t>
  </si>
  <si>
    <t>Բազկաթոռ</t>
  </si>
  <si>
    <t xml:space="preserve">Գրապահարան </t>
  </si>
  <si>
    <t>Գրապահարան</t>
  </si>
  <si>
    <t xml:space="preserve">Գրապահարան  0.80*0.4*1.9        </t>
  </si>
  <si>
    <t>Գրապահարան 0.80*0.4*75</t>
  </si>
  <si>
    <t>Գրապահարան 0.8*0.4*0.8</t>
  </si>
  <si>
    <t>Գրապահարան 0.83*0.38*1.9</t>
  </si>
  <si>
    <t>Գրապահարան /ապակյա դռներով/</t>
  </si>
  <si>
    <t>Գրապահարան 1.23*0.38*1.9</t>
  </si>
  <si>
    <t>Կցասեղան</t>
  </si>
  <si>
    <t>Հեռուստացույցի ամրակ CM310B</t>
  </si>
  <si>
    <t>Սեղան համակարգչի</t>
  </si>
  <si>
    <t>Կողասեղան սև</t>
  </si>
  <si>
    <t>Գրատախտակ</t>
  </si>
  <si>
    <t>Շարժական աթոռ</t>
  </si>
  <si>
    <t>Գրատախտակ/սպիտակ/</t>
  </si>
  <si>
    <t>Գրասեղան գրասենյակային</t>
  </si>
  <si>
    <t>Պոլկա/փոքր/</t>
  </si>
  <si>
    <t>Համակարգչի սեղան</t>
  </si>
  <si>
    <t>Կողադիր սեղան</t>
  </si>
  <si>
    <t>Ջրի սարք</t>
  </si>
  <si>
    <t>Գրասենյակային փոքր պահարան</t>
  </si>
  <si>
    <t>Սեղան դարակով</t>
  </si>
  <si>
    <t>Կողասեղան օվալաձև</t>
  </si>
  <si>
    <t>Դարակ</t>
  </si>
  <si>
    <t>Պահարան գրասենյակային</t>
  </si>
  <si>
    <t>Երկաթյա պահարան</t>
  </si>
  <si>
    <t>Հեռուստացույցի տակդիր</t>
  </si>
  <si>
    <t>Պահարան մետաղյա</t>
  </si>
  <si>
    <t>Գրասեղան</t>
  </si>
  <si>
    <t>Դիմասեղան</t>
  </si>
  <si>
    <t>Սեղան օվալաձև</t>
  </si>
  <si>
    <t>Սուրճի սեղան</t>
  </si>
  <si>
    <t>Սեղան</t>
  </si>
  <si>
    <t>Գրասեղան/սպիտակ/</t>
  </si>
  <si>
    <t>Կոնֆերենս սեղան 2.4*1.2</t>
  </si>
  <si>
    <t>Գրասեղան/սեղան/</t>
  </si>
  <si>
    <t>Պոլկա /մեծ/</t>
  </si>
  <si>
    <t>Երկտեղանի բազկաթոռ</t>
  </si>
  <si>
    <t>Կոնֆերենս սեղան 5*1.8</t>
  </si>
  <si>
    <t>Սեղան /մեծ/</t>
  </si>
  <si>
    <t>Գրասենյակային կահույք</t>
  </si>
  <si>
    <t>Գրասեղան օվալաձև</t>
  </si>
  <si>
    <t>Փափուկ կահույքի հավաքածու սրճսեղանով</t>
  </si>
  <si>
    <t>Գրասեղան կողասեղանով1.8*0.8</t>
  </si>
  <si>
    <t>Գրասեղան կողասեղանով 2*1</t>
  </si>
  <si>
    <t>Հոլ 3+1+1</t>
  </si>
  <si>
    <t>Կահույքի լրակազմ (հոլլ)</t>
  </si>
  <si>
    <t>Գրասենյակային կահույք 32 միավոր</t>
  </si>
  <si>
    <t>Հեռախոս</t>
  </si>
  <si>
    <t>Մինի հեռախոսային կայան</t>
  </si>
  <si>
    <t>HSM 104.3 Heavi Duty Office Shredder</t>
  </si>
  <si>
    <t>LED հեռուստացույց</t>
  </si>
  <si>
    <t>Տեսախցիկ հսկողական PANASONIC BL C1</t>
  </si>
  <si>
    <t>Տեսախցիկ հսկողական PANASONIC BB HCM511</t>
  </si>
  <si>
    <t>Սառնարան Sharp SJ-K42N</t>
  </si>
  <si>
    <t>Հեռուստացույց Samsung</t>
  </si>
  <si>
    <t>Սառնարան Midea</t>
  </si>
  <si>
    <t>Օդորակիչ Panasonic CS-PA9GKD</t>
  </si>
  <si>
    <t>Տեսախցիկ հսկողական PANASONIC BB HCM527</t>
  </si>
  <si>
    <t>Տեսախցիկ հսկողական PANASONIC BB HCM581</t>
  </si>
  <si>
    <t>Հեռուստացույց SAMSUNG 48j5530</t>
  </si>
  <si>
    <t>Հեռուստացույց SAMSUNG 55H6203</t>
  </si>
  <si>
    <t>Հեռուստացույց  Philips</t>
  </si>
  <si>
    <t xml:space="preserve">Հեռուստացույց  </t>
  </si>
  <si>
    <t>Սառնարան</t>
  </si>
  <si>
    <t>Կոնդիցիոներ</t>
  </si>
  <si>
    <t>Օդափոխիչ</t>
  </si>
  <si>
    <t>Գիրք կարելու սարք</t>
  </si>
  <si>
    <t>Կրակմարիչ ОУ-3</t>
  </si>
  <si>
    <t>Հակահրդեհային ազդանշանային համակարգ</t>
  </si>
  <si>
    <t>Տավուշի մարզ</t>
  </si>
  <si>
    <t>Վայոց Ձորի մարզ</t>
  </si>
  <si>
    <t>Ճառագայթային չափումների ռեֆեռենսային լաբորատորիայի ստեղծում</t>
  </si>
  <si>
    <t>Շ</t>
  </si>
  <si>
    <t>Շրջակա միջավայրի ճառագայթային մոնիտորինգի իրականացում</t>
  </si>
  <si>
    <t>ՈՉ ՖԻՆԱՆՍԱԿԱՆ ԱԿՏԻՎՆԵՐԻ ԳԾՈՎ ԾԱԽՍԵՐ</t>
  </si>
  <si>
    <t xml:space="preserve">Միջոցառման վրա կատարվող ծախսը - ոչ ֆինանսական ակտիվների գծով ծախսեր </t>
  </si>
  <si>
    <t>3427.4 ք․մ․</t>
  </si>
  <si>
    <t>Կոմիտեի նախագահի առաջին  տեղակալ (օգտագործվում է որպես հերթապահ ավտոմեքենա)</t>
  </si>
  <si>
    <t xml:space="preserve">ՀՀ միջուկային անվտանգության կարգավորման կոմիտեի կողմից զբաղեցված տարածքի կատարվելիք ընթացիկ նորոգման և պահպանման աշխատանքները գտնվում են ուսումնասիրման փուլում։ Այդ պատճառով  թերությունների ակտի և նախահաշվային գնի ցուցանիշները դեռ չեն ձևավորվել։  </t>
  </si>
  <si>
    <t xml:space="preserve">ՀՀ վարչապետի 11.06.2018թ․     թիվ 747-Լ որոշում                                                                                                               </t>
  </si>
  <si>
    <t>Շենքերի և շինությունների կապիտալ վերանորոգում</t>
  </si>
  <si>
    <t>62-21.2-Ղ4-1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</si>
</sst>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_(* #,##0.0_);_(* \(#,##0.0\);_(* &quot;-&quot;??_);_(@_)"/>
    <numFmt numFmtId="190" formatCode="_-* #,##0.0_-;\-* #,##0.0_-;_-* &quot;-&quot;??_-;_-@_-"/>
    <numFmt numFmtId="191" formatCode="_-* #,##0_-;\-* #,##0_-;_-* &quot;-&quot;??_-;_-@_-"/>
    <numFmt numFmtId="192" formatCode="0.00000"/>
    <numFmt numFmtId="193" formatCode="0.0000"/>
    <numFmt numFmtId="194" formatCode="0.0%"/>
    <numFmt numFmtId="195" formatCode="#,##0.0_);[Red]\(#,##0.0\)"/>
    <numFmt numFmtId="196" formatCode="0.000000"/>
    <numFmt numFmtId="197" formatCode="#,##0.00000"/>
    <numFmt numFmtId="198" formatCode="0.00000000"/>
    <numFmt numFmtId="199" formatCode="_-* #,##0.0_р_._-;\-* #,##0.0_р_._-;_-* &quot;-&quot;??_р_._-;_-@_-"/>
    <numFmt numFmtId="200" formatCode="_(* #,##0.0_);_(* \(#,##0.0\);_(* &quot;-&quot;?_);_(@_)"/>
    <numFmt numFmtId="201" formatCode="_-* #,##0.00_р_._-;\-* #,##0.00_р_._-;_-* &quot;-&quot;??_р_._-;_-@_-"/>
    <numFmt numFmtId="202" formatCode="_(* #,##0.000_);_(* \(#,##0.000\);_(* &quot;-&quot;??_);_(@_)"/>
    <numFmt numFmtId="203" formatCode="_(* #,##0_);_(* \(#,##0\);_(* &quot;-&quot;??_);_(@_)"/>
    <numFmt numFmtId="204" formatCode="#,###,###,###,##0.0"/>
    <numFmt numFmtId="205" formatCode="#,##0.0_);\(#,##0.0\)"/>
  </numFmts>
  <fonts count="1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5"/>
      <name val="GHEA Grapalat"/>
      <family val="3"/>
    </font>
    <font>
      <b/>
      <sz val="12"/>
      <color indexed="10"/>
      <name val="GHEA Grapalat"/>
      <family val="3"/>
    </font>
    <font>
      <b/>
      <sz val="11"/>
      <color indexed="10"/>
      <name val="GHEA Grapalat"/>
      <family val="3"/>
    </font>
    <font>
      <b/>
      <sz val="8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i/>
      <u val="single"/>
      <sz val="10"/>
      <name val="GHEA Grapalat"/>
      <family val="3"/>
    </font>
    <font>
      <sz val="10"/>
      <color indexed="8"/>
      <name val="GHEA Grapalat"/>
      <family val="3"/>
    </font>
    <font>
      <i/>
      <sz val="10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sz val="10"/>
      <color indexed="10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color indexed="8"/>
      <name val="GHEA Grapalat"/>
      <family val="3"/>
    </font>
    <font>
      <sz val="8"/>
      <color indexed="8"/>
      <name val="GHEA Grapalat"/>
      <family val="3"/>
    </font>
    <font>
      <u val="single"/>
      <sz val="8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2"/>
      <name val="GHEA Grapalat"/>
      <family val="3"/>
    </font>
    <font>
      <b/>
      <sz val="12"/>
      <name val="GHEA Grapalat"/>
      <family val="3"/>
    </font>
    <font>
      <b/>
      <i/>
      <sz val="9"/>
      <name val="GHEA Grapalat"/>
      <family val="3"/>
    </font>
    <font>
      <i/>
      <sz val="9"/>
      <name val="GHEA Grapalat"/>
      <family val="3"/>
    </font>
    <font>
      <b/>
      <sz val="10"/>
      <color indexed="10"/>
      <name val="GHEA Grapalat"/>
      <family val="3"/>
    </font>
    <font>
      <b/>
      <sz val="8"/>
      <color indexed="8"/>
      <name val="GHEA Grapalat"/>
      <family val="3"/>
    </font>
    <font>
      <b/>
      <i/>
      <sz val="10"/>
      <color indexed="10"/>
      <name val="GHEA Grapalat"/>
      <family val="3"/>
    </font>
    <font>
      <sz val="9"/>
      <color indexed="8"/>
      <name val="Arial Unicode"/>
      <family val="2"/>
    </font>
    <font>
      <b/>
      <u val="single"/>
      <sz val="10"/>
      <name val="GHEA Grapalat"/>
      <family val="3"/>
    </font>
    <font>
      <u val="single"/>
      <sz val="9"/>
      <name val="GHEA Grapalat"/>
      <family val="3"/>
    </font>
    <font>
      <u val="single"/>
      <sz val="11"/>
      <name val="GHEA Grapalat"/>
      <family val="3"/>
    </font>
    <font>
      <sz val="10"/>
      <name val="Arial Armenian"/>
      <family val="2"/>
    </font>
    <font>
      <sz val="10"/>
      <color indexed="8"/>
      <name val="MS Sans Serif"/>
      <family val="2"/>
    </font>
    <font>
      <sz val="10"/>
      <name val="Times Armenian"/>
      <family val="1"/>
    </font>
    <font>
      <sz val="9"/>
      <name val="GHEA Mariam"/>
      <family val="3"/>
    </font>
    <font>
      <i/>
      <sz val="11"/>
      <name val="GHEA Grapalat"/>
      <family val="3"/>
    </font>
    <font>
      <sz val="12"/>
      <color indexed="8"/>
      <name val="GHEA Grapalat"/>
      <family val="3"/>
    </font>
    <font>
      <b/>
      <sz val="9"/>
      <color indexed="10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10"/>
      <name val="GHEA Grapalat"/>
      <family val="3"/>
    </font>
    <font>
      <u val="single"/>
      <vertAlign val="superscript"/>
      <sz val="12"/>
      <name val="GHEA Grapalat"/>
      <family val="3"/>
    </font>
    <font>
      <sz val="9"/>
      <name val="Arial LatArm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 Armenian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9"/>
      <color indexed="8"/>
      <name val="GHEA Grapalat"/>
      <family val="3"/>
    </font>
    <font>
      <sz val="10"/>
      <color indexed="8"/>
      <name val="GHEA Mariam"/>
      <family val="3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9"/>
      <color indexed="8"/>
      <name val="Tahoma"/>
      <family val="2"/>
    </font>
    <font>
      <i/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Armeni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GHEA Grapalat"/>
      <family val="3"/>
    </font>
    <font>
      <sz val="10"/>
      <color rgb="FFFF0000"/>
      <name val="GHEA Grapalat"/>
      <family val="3"/>
    </font>
    <font>
      <sz val="10"/>
      <color theme="1"/>
      <name val="GHEA Grapalat"/>
      <family val="3"/>
    </font>
    <font>
      <sz val="8"/>
      <color theme="1"/>
      <name val="GHEA Grapalat"/>
      <family val="3"/>
    </font>
    <font>
      <i/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rgb="FF000000"/>
      <name val="GHEA Mariam"/>
      <family val="3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b/>
      <sz val="11"/>
      <color rgb="FF000000"/>
      <name val="GHEA Grapalat"/>
      <family val="3"/>
    </font>
    <font>
      <b/>
      <sz val="10"/>
      <color rgb="FFFF0000"/>
      <name val="GHEA Grapalat"/>
      <family val="3"/>
    </font>
    <font>
      <b/>
      <sz val="11"/>
      <color rgb="FFFF0000"/>
      <name val="GHEA Grapalat"/>
      <family val="3"/>
    </font>
    <font>
      <sz val="12"/>
      <color rgb="FFFF0000"/>
      <name val="Arial"/>
      <family val="2"/>
    </font>
    <font>
      <b/>
      <sz val="9"/>
      <color rgb="FFFF0000"/>
      <name val="GHEA Grapalat"/>
      <family val="3"/>
    </font>
    <font>
      <sz val="9"/>
      <color theme="1"/>
      <name val="Calibri"/>
      <family val="2"/>
    </font>
    <font>
      <sz val="10"/>
      <color rgb="FF000000"/>
      <name val="GHEA Grapalat"/>
      <family val="3"/>
    </font>
    <font>
      <sz val="9"/>
      <color rgb="FF000000"/>
      <name val="GHEA Grapalat"/>
      <family val="3"/>
    </font>
    <font>
      <sz val="9"/>
      <color rgb="FF000000"/>
      <name val="Tahoma"/>
      <family val="2"/>
    </font>
    <font>
      <i/>
      <sz val="10"/>
      <color theme="1"/>
      <name val="GHEA Grapalat"/>
      <family val="3"/>
    </font>
    <font>
      <b/>
      <sz val="8"/>
      <color theme="1"/>
      <name val="GHEA Grapalat"/>
      <family val="3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B0C4DE"/>
      </right>
      <top style="thin">
        <color rgb="FFB0C4DE"/>
      </top>
      <bottom style="thin">
        <color rgb="FFB0C4DE"/>
      </bottom>
    </border>
    <border>
      <left/>
      <right style="thin">
        <color rgb="FFB0C4DE"/>
      </right>
      <top style="thin">
        <color rgb="FFB0C4DE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45" fillId="0" borderId="0">
      <alignment/>
      <protection/>
    </xf>
    <xf numFmtId="0" fontId="4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0" fillId="0" borderId="0" applyFont="0" applyFill="0" applyBorder="0" applyAlignment="0" applyProtection="0"/>
  </cellStyleXfs>
  <cellXfs count="760">
    <xf numFmtId="0" fontId="0" fillId="0" borderId="0" xfId="0" applyAlignment="1">
      <alignment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Continuous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centerContinuous" wrapText="1"/>
    </xf>
    <xf numFmtId="0" fontId="11" fillId="33" borderId="0" xfId="0" applyFont="1" applyFill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1" fillId="0" borderId="10" xfId="0" applyFont="1" applyFill="1" applyBorder="1" applyAlignment="1">
      <alignment wrapText="1"/>
    </xf>
    <xf numFmtId="178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4" fillId="0" borderId="10" xfId="0" applyFont="1" applyBorder="1" applyAlignment="1">
      <alignment wrapText="1"/>
    </xf>
    <xf numFmtId="0" fontId="11" fillId="33" borderId="0" xfId="0" applyFont="1" applyFill="1" applyBorder="1" applyAlignment="1">
      <alignment horizontal="centerContinuous"/>
    </xf>
    <xf numFmtId="0" fontId="12" fillId="33" borderId="11" xfId="0" applyFont="1" applyFill="1" applyBorder="1" applyAlignment="1">
      <alignment horizontal="left" wrapText="1"/>
    </xf>
    <xf numFmtId="0" fontId="14" fillId="33" borderId="0" xfId="0" applyFont="1" applyFill="1" applyBorder="1" applyAlignment="1">
      <alignment horizontal="centerContinuous" wrapText="1"/>
    </xf>
    <xf numFmtId="0" fontId="16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178" fontId="14" fillId="34" borderId="10" xfId="0" applyNumberFormat="1" applyFont="1" applyFill="1" applyBorder="1" applyAlignment="1">
      <alignment horizontal="center" wrapText="1"/>
    </xf>
    <xf numFmtId="0" fontId="14" fillId="34" borderId="0" xfId="0" applyFont="1" applyFill="1" applyAlignment="1">
      <alignment/>
    </xf>
    <xf numFmtId="0" fontId="14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/>
    </xf>
    <xf numFmtId="0" fontId="17" fillId="34" borderId="10" xfId="0" applyFont="1" applyFill="1" applyBorder="1" applyAlignment="1">
      <alignment wrapText="1"/>
    </xf>
    <xf numFmtId="178" fontId="14" fillId="33" borderId="10" xfId="0" applyNumberFormat="1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Continuous" wrapText="1"/>
    </xf>
    <xf numFmtId="0" fontId="15" fillId="33" borderId="0" xfId="0" applyFont="1" applyFill="1" applyAlignment="1">
      <alignment horizontal="centerContinuous"/>
    </xf>
    <xf numFmtId="0" fontId="15" fillId="33" borderId="0" xfId="0" applyFont="1" applyFill="1" applyAlignment="1">
      <alignment wrapText="1"/>
    </xf>
    <xf numFmtId="0" fontId="15" fillId="33" borderId="0" xfId="0" applyFont="1" applyFill="1" applyAlignment="1">
      <alignment/>
    </xf>
    <xf numFmtId="0" fontId="15" fillId="33" borderId="12" xfId="0" applyFont="1" applyFill="1" applyBorder="1" applyAlignment="1">
      <alignment horizontal="center"/>
    </xf>
    <xf numFmtId="1" fontId="14" fillId="33" borderId="12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 wrapText="1"/>
    </xf>
    <xf numFmtId="0" fontId="15" fillId="0" borderId="13" xfId="0" applyFont="1" applyBorder="1" applyAlignment="1">
      <alignment horizontal="centerContinuous" wrapText="1"/>
    </xf>
    <xf numFmtId="0" fontId="15" fillId="0" borderId="14" xfId="0" applyFont="1" applyBorder="1" applyAlignment="1">
      <alignment horizontal="centerContinuous" wrapText="1"/>
    </xf>
    <xf numFmtId="0" fontId="11" fillId="33" borderId="15" xfId="0" applyFont="1" applyFill="1" applyBorder="1" applyAlignment="1">
      <alignment horizontal="center"/>
    </xf>
    <xf numFmtId="0" fontId="16" fillId="33" borderId="15" xfId="0" applyFont="1" applyFill="1" applyBorder="1" applyAlignment="1">
      <alignment wrapText="1"/>
    </xf>
    <xf numFmtId="0" fontId="15" fillId="33" borderId="15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Continuous" wrapText="1"/>
    </xf>
    <xf numFmtId="0" fontId="15" fillId="33" borderId="10" xfId="0" applyFont="1" applyFill="1" applyBorder="1" applyAlignment="1">
      <alignment horizontal="center" wrapText="1"/>
    </xf>
    <xf numFmtId="0" fontId="15" fillId="33" borderId="16" xfId="0" applyFont="1" applyFill="1" applyBorder="1" applyAlignment="1">
      <alignment horizontal="center" wrapText="1"/>
    </xf>
    <xf numFmtId="0" fontId="21" fillId="33" borderId="16" xfId="0" applyFont="1" applyFill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6" fillId="0" borderId="16" xfId="0" applyFont="1" applyBorder="1" applyAlignment="1">
      <alignment wrapText="1"/>
    </xf>
    <xf numFmtId="0" fontId="15" fillId="0" borderId="0" xfId="0" applyFont="1" applyAlignment="1">
      <alignment wrapText="1"/>
    </xf>
    <xf numFmtId="0" fontId="11" fillId="0" borderId="10" xfId="0" applyFont="1" applyBorder="1" applyAlignment="1">
      <alignment horizontal="center"/>
    </xf>
    <xf numFmtId="0" fontId="16" fillId="0" borderId="10" xfId="0" applyFont="1" applyBorder="1" applyAlignment="1">
      <alignment wrapText="1"/>
    </xf>
    <xf numFmtId="178" fontId="11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78" fontId="15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78" fontId="11" fillId="0" borderId="10" xfId="0" applyNumberFormat="1" applyFont="1" applyBorder="1" applyAlignment="1">
      <alignment horizontal="center" wrapText="1"/>
    </xf>
    <xf numFmtId="178" fontId="18" fillId="0" borderId="10" xfId="0" applyNumberFormat="1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wrapText="1"/>
    </xf>
    <xf numFmtId="1" fontId="11" fillId="34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1" fillId="0" borderId="0" xfId="0" applyFont="1" applyAlignment="1">
      <alignment wrapText="1"/>
    </xf>
    <xf numFmtId="49" fontId="16" fillId="0" borderId="0" xfId="0" applyNumberFormat="1" applyFont="1" applyBorder="1" applyAlignment="1">
      <alignment horizontal="centerContinuous" wrapText="1"/>
    </xf>
    <xf numFmtId="0" fontId="11" fillId="0" borderId="0" xfId="0" applyFont="1" applyAlignment="1">
      <alignment horizontal="centerContinuous" wrapText="1"/>
    </xf>
    <xf numFmtId="0" fontId="11" fillId="0" borderId="0" xfId="0" applyFont="1" applyAlignment="1">
      <alignment horizontal="centerContinuous"/>
    </xf>
    <xf numFmtId="178" fontId="11" fillId="0" borderId="0" xfId="0" applyNumberFormat="1" applyFont="1" applyAlignment="1">
      <alignment horizontal="centerContinuous"/>
    </xf>
    <xf numFmtId="178" fontId="8" fillId="34" borderId="17" xfId="0" applyNumberFormat="1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11" fillId="33" borderId="10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1" fillId="33" borderId="0" xfId="0" applyFont="1" applyFill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178" fontId="11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6" fillId="33" borderId="0" xfId="0" applyFont="1" applyFill="1" applyAlignment="1">
      <alignment wrapText="1"/>
    </xf>
    <xf numFmtId="0" fontId="11" fillId="33" borderId="0" xfId="0" applyFont="1" applyFill="1" applyAlignment="1">
      <alignment horizontal="centerContinuous" wrapText="1"/>
    </xf>
    <xf numFmtId="0" fontId="16" fillId="33" borderId="0" xfId="0" applyFont="1" applyFill="1" applyAlignment="1">
      <alignment horizontal="centerContinuous" wrapText="1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wrapText="1"/>
    </xf>
    <xf numFmtId="178" fontId="16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178" fontId="14" fillId="0" borderId="10" xfId="0" applyNumberFormat="1" applyFont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Continuous"/>
    </xf>
    <xf numFmtId="0" fontId="14" fillId="0" borderId="10" xfId="0" applyFont="1" applyBorder="1" applyAlignment="1">
      <alignment horizontal="center"/>
    </xf>
    <xf numFmtId="178" fontId="23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 horizontal="center" wrapText="1"/>
    </xf>
    <xf numFmtId="178" fontId="16" fillId="0" borderId="10" xfId="0" applyNumberFormat="1" applyFont="1" applyBorder="1" applyAlignment="1">
      <alignment horizontal="center"/>
    </xf>
    <xf numFmtId="0" fontId="14" fillId="33" borderId="0" xfId="0" applyFont="1" applyFill="1" applyAlignment="1">
      <alignment horizontal="centerContinuous"/>
    </xf>
    <xf numFmtId="0" fontId="10" fillId="33" borderId="0" xfId="0" applyFont="1" applyFill="1" applyBorder="1" applyAlignment="1">
      <alignment wrapText="1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wrapText="1"/>
    </xf>
    <xf numFmtId="0" fontId="15" fillId="33" borderId="21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wrapText="1"/>
    </xf>
    <xf numFmtId="0" fontId="11" fillId="0" borderId="25" xfId="0" applyFont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178" fontId="11" fillId="0" borderId="16" xfId="0" applyNumberFormat="1" applyFont="1" applyBorder="1" applyAlignment="1">
      <alignment horizontal="center" vertical="center" wrapText="1"/>
    </xf>
    <xf numFmtId="178" fontId="11" fillId="0" borderId="26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178" fontId="11" fillId="0" borderId="10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/>
    </xf>
    <xf numFmtId="0" fontId="14" fillId="35" borderId="29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33" borderId="0" xfId="0" applyFont="1" applyFill="1" applyBorder="1" applyAlignment="1">
      <alignment horizontal="centerContinuous" wrapText="1"/>
    </xf>
    <xf numFmtId="0" fontId="29" fillId="33" borderId="0" xfId="0" applyFont="1" applyFill="1" applyBorder="1" applyAlignment="1">
      <alignment horizontal="centerContinuous" wrapText="1"/>
    </xf>
    <xf numFmtId="0" fontId="11" fillId="33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Alignment="1">
      <alignment horizontal="center" wrapText="1"/>
    </xf>
    <xf numFmtId="0" fontId="14" fillId="0" borderId="0" xfId="0" applyFont="1" applyFill="1" applyAlignment="1">
      <alignment wrapText="1"/>
    </xf>
    <xf numFmtId="0" fontId="14" fillId="33" borderId="0" xfId="0" applyFont="1" applyFill="1" applyAlignment="1">
      <alignment wrapText="1"/>
    </xf>
    <xf numFmtId="0" fontId="14" fillId="33" borderId="0" xfId="0" applyFont="1" applyFill="1" applyAlignment="1">
      <alignment horizontal="center" wrapText="1"/>
    </xf>
    <xf numFmtId="0" fontId="11" fillId="33" borderId="20" xfId="0" applyFont="1" applyFill="1" applyBorder="1" applyAlignment="1">
      <alignment wrapText="1"/>
    </xf>
    <xf numFmtId="0" fontId="11" fillId="33" borderId="20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wrapText="1"/>
    </xf>
    <xf numFmtId="0" fontId="16" fillId="0" borderId="1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14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0" fontId="14" fillId="33" borderId="12" xfId="0" applyFont="1" applyFill="1" applyBorder="1" applyAlignment="1">
      <alignment wrapText="1"/>
    </xf>
    <xf numFmtId="0" fontId="23" fillId="33" borderId="1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2" fillId="33" borderId="11" xfId="0" applyFont="1" applyFill="1" applyBorder="1" applyAlignment="1">
      <alignment wrapText="1"/>
    </xf>
    <xf numFmtId="0" fontId="28" fillId="0" borderId="30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30" fillId="0" borderId="0" xfId="0" applyFont="1" applyAlignment="1">
      <alignment/>
    </xf>
    <xf numFmtId="0" fontId="18" fillId="0" borderId="27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1" fontId="11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32" fillId="33" borderId="11" xfId="0" applyFont="1" applyFill="1" applyBorder="1" applyAlignment="1">
      <alignment horizontal="left" wrapText="1"/>
    </xf>
    <xf numFmtId="0" fontId="32" fillId="33" borderId="0" xfId="0" applyFont="1" applyFill="1" applyBorder="1" applyAlignment="1">
      <alignment horizontal="centerContinuous" wrapText="1"/>
    </xf>
    <xf numFmtId="0" fontId="13" fillId="0" borderId="0" xfId="0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wrapText="1"/>
    </xf>
    <xf numFmtId="178" fontId="11" fillId="33" borderId="10" xfId="0" applyNumberFormat="1" applyFont="1" applyFill="1" applyBorder="1" applyAlignment="1">
      <alignment horizontal="center"/>
    </xf>
    <xf numFmtId="0" fontId="34" fillId="33" borderId="10" xfId="0" applyFont="1" applyFill="1" applyBorder="1" applyAlignment="1">
      <alignment/>
    </xf>
    <xf numFmtId="178" fontId="14" fillId="33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33" borderId="0" xfId="0" applyFont="1" applyFill="1" applyBorder="1" applyAlignment="1">
      <alignment horizontal="centerContinuous"/>
    </xf>
    <xf numFmtId="0" fontId="15" fillId="33" borderId="0" xfId="0" applyFont="1" applyFill="1" applyAlignment="1">
      <alignment horizontal="center" wrapText="1"/>
    </xf>
    <xf numFmtId="178" fontId="14" fillId="36" borderId="10" xfId="0" applyNumberFormat="1" applyFont="1" applyFill="1" applyBorder="1" applyAlignment="1">
      <alignment horizontal="center"/>
    </xf>
    <xf numFmtId="0" fontId="14" fillId="36" borderId="0" xfId="0" applyFont="1" applyFill="1" applyAlignment="1">
      <alignment/>
    </xf>
    <xf numFmtId="178" fontId="11" fillId="33" borderId="1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Continuous"/>
    </xf>
    <xf numFmtId="0" fontId="14" fillId="33" borderId="14" xfId="0" applyFont="1" applyFill="1" applyBorder="1" applyAlignment="1">
      <alignment horizontal="centerContinuous"/>
    </xf>
    <xf numFmtId="178" fontId="11" fillId="33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4" fillId="33" borderId="12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1" fillId="33" borderId="16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11" fillId="0" borderId="24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36" fillId="33" borderId="0" xfId="0" applyFont="1" applyFill="1" applyBorder="1" applyAlignment="1">
      <alignment horizontal="center" wrapText="1"/>
    </xf>
    <xf numFmtId="178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78" fontId="14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49" fontId="14" fillId="0" borderId="16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wrapText="1"/>
    </xf>
    <xf numFmtId="0" fontId="14" fillId="34" borderId="10" xfId="0" applyFont="1" applyFill="1" applyBorder="1" applyAlignment="1">
      <alignment wrapText="1"/>
    </xf>
    <xf numFmtId="178" fontId="11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34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178" fontId="14" fillId="33" borderId="1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8" fillId="33" borderId="16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18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/>
    </xf>
    <xf numFmtId="0" fontId="22" fillId="0" borderId="10" xfId="0" applyFont="1" applyBorder="1" applyAlignment="1">
      <alignment horizontal="center" wrapText="1"/>
    </xf>
    <xf numFmtId="178" fontId="11" fillId="34" borderId="10" xfId="0" applyNumberFormat="1" applyFont="1" applyFill="1" applyBorder="1" applyAlignment="1">
      <alignment horizontal="centerContinuous" wrapText="1"/>
    </xf>
    <xf numFmtId="0" fontId="11" fillId="34" borderId="10" xfId="0" applyFont="1" applyFill="1" applyBorder="1" applyAlignment="1">
      <alignment horizontal="centerContinuous" wrapText="1"/>
    </xf>
    <xf numFmtId="0" fontId="15" fillId="0" borderId="16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178" fontId="14" fillId="0" borderId="10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33" borderId="14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 wrapText="1"/>
    </xf>
    <xf numFmtId="0" fontId="14" fillId="36" borderId="0" xfId="0" applyFont="1" applyFill="1" applyBorder="1" applyAlignment="1">
      <alignment horizontal="centerContinuous" wrapText="1"/>
    </xf>
    <xf numFmtId="0" fontId="40" fillId="36" borderId="0" xfId="0" applyFont="1" applyFill="1" applyBorder="1" applyAlignment="1">
      <alignment horizontal="centerContinuous" wrapText="1"/>
    </xf>
    <xf numFmtId="0" fontId="31" fillId="36" borderId="0" xfId="0" applyFont="1" applyFill="1" applyAlignment="1">
      <alignment/>
    </xf>
    <xf numFmtId="0" fontId="31" fillId="0" borderId="0" xfId="0" applyFont="1" applyAlignment="1">
      <alignment/>
    </xf>
    <xf numFmtId="0" fontId="14" fillId="33" borderId="36" xfId="0" applyFont="1" applyFill="1" applyBorder="1" applyAlignment="1">
      <alignment horizontal="centerContinuous" wrapText="1"/>
    </xf>
    <xf numFmtId="0" fontId="1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178" fontId="13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1" fillId="0" borderId="0" xfId="0" applyFont="1" applyBorder="1" applyAlignment="1">
      <alignment horizontal="left"/>
    </xf>
    <xf numFmtId="0" fontId="10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wrapText="1"/>
    </xf>
    <xf numFmtId="0" fontId="14" fillId="33" borderId="37" xfId="0" applyFont="1" applyFill="1" applyBorder="1" applyAlignment="1">
      <alignment wrapText="1"/>
    </xf>
    <xf numFmtId="0" fontId="14" fillId="33" borderId="37" xfId="0" applyFont="1" applyFill="1" applyBorder="1" applyAlignment="1">
      <alignment/>
    </xf>
    <xf numFmtId="0" fontId="14" fillId="33" borderId="37" xfId="0" applyFont="1" applyFill="1" applyBorder="1" applyAlignment="1">
      <alignment horizontal="centerContinuous"/>
    </xf>
    <xf numFmtId="0" fontId="10" fillId="33" borderId="0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Continuous" wrapText="1"/>
    </xf>
    <xf numFmtId="0" fontId="14" fillId="33" borderId="14" xfId="0" applyFont="1" applyFill="1" applyBorder="1" applyAlignment="1">
      <alignment horizontal="centerContinuous" wrapText="1"/>
    </xf>
    <xf numFmtId="0" fontId="14" fillId="33" borderId="37" xfId="0" applyFont="1" applyFill="1" applyBorder="1" applyAlignment="1">
      <alignment horizontal="centerContinuous" wrapText="1"/>
    </xf>
    <xf numFmtId="0" fontId="42" fillId="33" borderId="0" xfId="0" applyFont="1" applyFill="1" applyAlignment="1">
      <alignment/>
    </xf>
    <xf numFmtId="0" fontId="11" fillId="33" borderId="38" xfId="0" applyFont="1" applyFill="1" applyBorder="1" applyAlignment="1">
      <alignment/>
    </xf>
    <xf numFmtId="0" fontId="11" fillId="33" borderId="0" xfId="0" applyFont="1" applyFill="1" applyBorder="1" applyAlignment="1">
      <alignment horizontal="right" wrapText="1"/>
    </xf>
    <xf numFmtId="0" fontId="7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0" fillId="37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2" fillId="33" borderId="39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4" fillId="33" borderId="40" xfId="0" applyFont="1" applyFill="1" applyBorder="1" applyAlignment="1">
      <alignment horizontal="centerContinuous"/>
    </xf>
    <xf numFmtId="0" fontId="14" fillId="33" borderId="41" xfId="0" applyFont="1" applyFill="1" applyBorder="1" applyAlignment="1">
      <alignment horizontal="centerContinuous"/>
    </xf>
    <xf numFmtId="0" fontId="14" fillId="33" borderId="0" xfId="0" applyFont="1" applyFill="1" applyAlignment="1">
      <alignment horizontal="centerContinuous" wrapText="1"/>
    </xf>
    <xf numFmtId="0" fontId="14" fillId="33" borderId="0" xfId="0" applyFont="1" applyFill="1" applyAlignment="1">
      <alignment horizontal="centerContinuous" vertical="center"/>
    </xf>
    <xf numFmtId="1" fontId="98" fillId="0" borderId="10" xfId="0" applyNumberFormat="1" applyFont="1" applyBorder="1" applyAlignment="1">
      <alignment horizontal="center"/>
    </xf>
    <xf numFmtId="2" fontId="13" fillId="33" borderId="0" xfId="0" applyNumberFormat="1" applyFont="1" applyFill="1" applyAlignment="1">
      <alignment horizontal="centerContinuous" wrapText="1"/>
    </xf>
    <xf numFmtId="2" fontId="99" fillId="0" borderId="10" xfId="0" applyNumberFormat="1" applyFont="1" applyBorder="1" applyAlignment="1">
      <alignment horizontal="center"/>
    </xf>
    <xf numFmtId="0" fontId="27" fillId="0" borderId="20" xfId="0" applyFont="1" applyBorder="1" applyAlignment="1">
      <alignment horizontal="center" vertical="center" wrapText="1"/>
    </xf>
    <xf numFmtId="0" fontId="46" fillId="0" borderId="10" xfId="117" applyFont="1" applyBorder="1" applyAlignment="1">
      <alignment horizontal="center" wrapText="1"/>
      <protection/>
    </xf>
    <xf numFmtId="0" fontId="11" fillId="33" borderId="42" xfId="0" applyFont="1" applyFill="1" applyBorder="1" applyAlignment="1">
      <alignment wrapText="1"/>
    </xf>
    <xf numFmtId="0" fontId="14" fillId="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wrapText="1"/>
    </xf>
    <xf numFmtId="0" fontId="14" fillId="33" borderId="34" xfId="0" applyFont="1" applyFill="1" applyBorder="1" applyAlignment="1">
      <alignment horizontal="centerContinuous" vertical="center"/>
    </xf>
    <xf numFmtId="0" fontId="27" fillId="0" borderId="43" xfId="0" applyFont="1" applyBorder="1" applyAlignment="1">
      <alignment horizontal="center" vertical="center" wrapText="1"/>
    </xf>
    <xf numFmtId="0" fontId="30" fillId="10" borderId="10" xfId="0" applyFont="1" applyFill="1" applyBorder="1" applyAlignment="1">
      <alignment horizontal="center"/>
    </xf>
    <xf numFmtId="0" fontId="30" fillId="10" borderId="10" xfId="0" applyFont="1" applyFill="1" applyBorder="1" applyAlignment="1">
      <alignment horizontal="center" wrapText="1"/>
    </xf>
    <xf numFmtId="178" fontId="30" fillId="1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2" fillId="33" borderId="39" xfId="0" applyFont="1" applyFill="1" applyBorder="1" applyAlignment="1">
      <alignment wrapText="1"/>
    </xf>
    <xf numFmtId="0" fontId="18" fillId="33" borderId="0" xfId="0" applyFont="1" applyFill="1" applyBorder="1" applyAlignment="1">
      <alignment horizontal="centerContinuous" vertical="center" wrapText="1"/>
    </xf>
    <xf numFmtId="0" fontId="11" fillId="0" borderId="17" xfId="0" applyFont="1" applyBorder="1" applyAlignment="1">
      <alignment horizontal="center" wrapText="1"/>
    </xf>
    <xf numFmtId="0" fontId="11" fillId="0" borderId="41" xfId="0" applyFont="1" applyBorder="1" applyAlignment="1">
      <alignment horizontal="centerContinuous" wrapText="1"/>
    </xf>
    <xf numFmtId="0" fontId="11" fillId="0" borderId="17" xfId="0" applyFont="1" applyBorder="1" applyAlignment="1">
      <alignment horizontal="centerContinuous" wrapText="1"/>
    </xf>
    <xf numFmtId="0" fontId="27" fillId="0" borderId="17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2" fillId="33" borderId="39" xfId="0" applyFont="1" applyFill="1" applyBorder="1" applyAlignment="1">
      <alignment horizontal="centerContinuous" wrapText="1"/>
    </xf>
    <xf numFmtId="0" fontId="48" fillId="33" borderId="0" xfId="0" applyFont="1" applyFill="1" applyBorder="1" applyAlignment="1">
      <alignment horizontal="centerContinuous" vertical="center" wrapText="1"/>
    </xf>
    <xf numFmtId="0" fontId="11" fillId="10" borderId="10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 wrapText="1"/>
    </xf>
    <xf numFmtId="0" fontId="33" fillId="10" borderId="10" xfId="0" applyFont="1" applyFill="1" applyBorder="1" applyAlignment="1">
      <alignment horizontal="left" wrapText="1"/>
    </xf>
    <xf numFmtId="0" fontId="24" fillId="10" borderId="10" xfId="0" applyFont="1" applyFill="1" applyBorder="1" applyAlignment="1">
      <alignment horizontal="center" wrapText="1"/>
    </xf>
    <xf numFmtId="0" fontId="18" fillId="0" borderId="37" xfId="0" applyFont="1" applyBorder="1" applyAlignment="1">
      <alignment horizontal="center"/>
    </xf>
    <xf numFmtId="0" fontId="13" fillId="33" borderId="0" xfId="0" applyFont="1" applyFill="1" applyBorder="1" applyAlignment="1">
      <alignment horizontal="centerContinuous" vertical="center" wrapText="1"/>
    </xf>
    <xf numFmtId="0" fontId="15" fillId="0" borderId="11" xfId="0" applyFont="1" applyBorder="1" applyAlignment="1">
      <alignment horizontal="center"/>
    </xf>
    <xf numFmtId="0" fontId="26" fillId="1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9" fontId="16" fillId="0" borderId="10" xfId="0" applyNumberFormat="1" applyFont="1" applyBorder="1" applyAlignment="1">
      <alignment horizontal="center"/>
    </xf>
    <xf numFmtId="0" fontId="100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left" vertical="top" wrapText="1"/>
    </xf>
    <xf numFmtId="0" fontId="101" fillId="0" borderId="10" xfId="0" applyFont="1" applyFill="1" applyBorder="1" applyAlignment="1">
      <alignment horizontal="center" vertical="top" wrapText="1"/>
    </xf>
    <xf numFmtId="178" fontId="11" fillId="33" borderId="42" xfId="0" applyNumberFormat="1" applyFont="1" applyFill="1" applyBorder="1" applyAlignment="1">
      <alignment wrapText="1"/>
    </xf>
    <xf numFmtId="0" fontId="15" fillId="33" borderId="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left" vertical="center"/>
    </xf>
    <xf numFmtId="0" fontId="102" fillId="0" borderId="10" xfId="0" applyFont="1" applyFill="1" applyBorder="1" applyAlignment="1">
      <alignment horizontal="left" vertical="center" wrapText="1"/>
    </xf>
    <xf numFmtId="0" fontId="103" fillId="0" borderId="10" xfId="0" applyFont="1" applyFill="1" applyBorder="1" applyAlignment="1">
      <alignment horizontal="left" vertical="center"/>
    </xf>
    <xf numFmtId="0" fontId="15" fillId="6" borderId="16" xfId="0" applyFont="1" applyFill="1" applyBorder="1" applyAlignment="1">
      <alignment horizontal="center" wrapText="1"/>
    </xf>
    <xf numFmtId="0" fontId="10" fillId="6" borderId="16" xfId="0" applyFont="1" applyFill="1" applyBorder="1" applyAlignment="1">
      <alignment horizontal="center" wrapText="1"/>
    </xf>
    <xf numFmtId="0" fontId="100" fillId="0" borderId="1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0" fillId="34" borderId="37" xfId="117" applyFont="1" applyFill="1" applyBorder="1" applyAlignment="1">
      <alignment horizontal="center" vertical="center" wrapText="1"/>
      <protection/>
    </xf>
    <xf numFmtId="0" fontId="15" fillId="0" borderId="37" xfId="117" applyFont="1" applyFill="1" applyBorder="1" applyAlignment="1">
      <alignment horizontal="center" vertical="center" wrapText="1"/>
      <protection/>
    </xf>
    <xf numFmtId="0" fontId="10" fillId="34" borderId="37" xfId="0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49" fontId="37" fillId="0" borderId="44" xfId="0" applyNumberFormat="1" applyFont="1" applyFill="1" applyBorder="1" applyAlignment="1">
      <alignment horizontal="center" vertical="center" wrapText="1"/>
    </xf>
    <xf numFmtId="49" fontId="37" fillId="4" borderId="44" xfId="0" applyNumberFormat="1" applyFont="1" applyFill="1" applyBorder="1" applyAlignment="1">
      <alignment horizontal="center" vertical="center" wrapText="1"/>
    </xf>
    <xf numFmtId="0" fontId="101" fillId="0" borderId="12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2" fillId="33" borderId="0" xfId="0" applyFont="1" applyFill="1" applyBorder="1" applyAlignment="1">
      <alignment wrapText="1"/>
    </xf>
    <xf numFmtId="0" fontId="24" fillId="33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41" fillId="0" borderId="0" xfId="0" applyFont="1" applyFill="1" applyBorder="1" applyAlignment="1">
      <alignment horizontal="left" vertical="top" wrapText="1"/>
    </xf>
    <xf numFmtId="0" fontId="14" fillId="0" borderId="36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 wrapText="1"/>
    </xf>
    <xf numFmtId="0" fontId="11" fillId="0" borderId="3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33" borderId="0" xfId="0" applyFont="1" applyFill="1" applyBorder="1" applyAlignment="1">
      <alignment/>
    </xf>
    <xf numFmtId="0" fontId="12" fillId="33" borderId="38" xfId="0" applyFont="1" applyFill="1" applyBorder="1" applyAlignment="1">
      <alignment horizontal="centerContinuous" wrapText="1"/>
    </xf>
    <xf numFmtId="0" fontId="11" fillId="33" borderId="10" xfId="0" applyFont="1" applyFill="1" applyBorder="1" applyAlignment="1">
      <alignment horizontal="left" indent="2"/>
    </xf>
    <xf numFmtId="0" fontId="11" fillId="12" borderId="10" xfId="0" applyFont="1" applyFill="1" applyBorder="1" applyAlignment="1">
      <alignment horizontal="center"/>
    </xf>
    <xf numFmtId="0" fontId="11" fillId="12" borderId="10" xfId="0" applyFont="1" applyFill="1" applyBorder="1" applyAlignment="1">
      <alignment horizontal="left" indent="2"/>
    </xf>
    <xf numFmtId="0" fontId="104" fillId="0" borderId="0" xfId="0" applyFont="1" applyAlignment="1">
      <alignment horizontal="justify" vertical="center"/>
    </xf>
    <xf numFmtId="0" fontId="104" fillId="0" borderId="0" xfId="0" applyFont="1" applyAlignment="1">
      <alignment/>
    </xf>
    <xf numFmtId="0" fontId="11" fillId="37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vertical="center" wrapText="1"/>
    </xf>
    <xf numFmtId="0" fontId="100" fillId="0" borderId="37" xfId="0" applyFont="1" applyFill="1" applyBorder="1" applyAlignment="1">
      <alignment horizontal="center" vertical="center" wrapText="1"/>
    </xf>
    <xf numFmtId="0" fontId="105" fillId="0" borderId="12" xfId="0" applyFont="1" applyFill="1" applyBorder="1" applyAlignment="1">
      <alignment horizontal="left" vertical="top" wrapText="1"/>
    </xf>
    <xf numFmtId="0" fontId="10" fillId="37" borderId="0" xfId="0" applyFont="1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19" fillId="38" borderId="12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178" fontId="24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8" fontId="14" fillId="37" borderId="10" xfId="0" applyNumberFormat="1" applyFont="1" applyFill="1" applyBorder="1" applyAlignment="1">
      <alignment horizontal="center" vertical="center" wrapText="1"/>
    </xf>
    <xf numFmtId="0" fontId="19" fillId="37" borderId="13" xfId="0" applyFont="1" applyFill="1" applyBorder="1" applyAlignment="1">
      <alignment horizontal="justify" vertical="center" wrapText="1"/>
    </xf>
    <xf numFmtId="0" fontId="11" fillId="33" borderId="10" xfId="0" applyFont="1" applyFill="1" applyBorder="1" applyAlignment="1">
      <alignment horizontal="centerContinuous" vertical="center" wrapText="1"/>
    </xf>
    <xf numFmtId="0" fontId="13" fillId="0" borderId="14" xfId="0" applyFont="1" applyBorder="1" applyAlignment="1">
      <alignment horizontal="centerContinuous"/>
    </xf>
    <xf numFmtId="0" fontId="13" fillId="0" borderId="37" xfId="0" applyFont="1" applyBorder="1" applyAlignment="1">
      <alignment horizontal="centerContinuous"/>
    </xf>
    <xf numFmtId="0" fontId="13" fillId="0" borderId="10" xfId="0" applyFont="1" applyBorder="1" applyAlignment="1">
      <alignment/>
    </xf>
    <xf numFmtId="1" fontId="11" fillId="0" borderId="10" xfId="0" applyNumberFormat="1" applyFont="1" applyFill="1" applyBorder="1" applyAlignment="1">
      <alignment horizontal="center" wrapText="1"/>
    </xf>
    <xf numFmtId="178" fontId="11" fillId="4" borderId="10" xfId="0" applyNumberFormat="1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wrapText="1"/>
    </xf>
    <xf numFmtId="178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178" fontId="14" fillId="0" borderId="10" xfId="0" applyNumberFormat="1" applyFont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left" wrapText="1"/>
    </xf>
    <xf numFmtId="0" fontId="15" fillId="4" borderId="10" xfId="0" applyFont="1" applyFill="1" applyBorder="1" applyAlignment="1">
      <alignment/>
    </xf>
    <xf numFmtId="0" fontId="11" fillId="4" borderId="10" xfId="0" applyFont="1" applyFill="1" applyBorder="1" applyAlignment="1">
      <alignment/>
    </xf>
    <xf numFmtId="178" fontId="14" fillId="4" borderId="10" xfId="0" applyNumberFormat="1" applyFont="1" applyFill="1" applyBorder="1" applyAlignment="1">
      <alignment horizontal="center"/>
    </xf>
    <xf numFmtId="0" fontId="106" fillId="39" borderId="45" xfId="0" applyFont="1" applyFill="1" applyBorder="1" applyAlignment="1">
      <alignment vertical="center"/>
    </xf>
    <xf numFmtId="0" fontId="107" fillId="39" borderId="45" xfId="0" applyFont="1" applyFill="1" applyBorder="1" applyAlignment="1">
      <alignment horizontal="center" vertical="center" wrapText="1"/>
    </xf>
    <xf numFmtId="0" fontId="106" fillId="39" borderId="45" xfId="0" applyFont="1" applyFill="1" applyBorder="1" applyAlignment="1">
      <alignment vertical="center" wrapText="1"/>
    </xf>
    <xf numFmtId="0" fontId="106" fillId="39" borderId="46" xfId="0" applyFont="1" applyFill="1" applyBorder="1" applyAlignment="1">
      <alignment vertical="center"/>
    </xf>
    <xf numFmtId="0" fontId="107" fillId="39" borderId="47" xfId="0" applyFont="1" applyFill="1" applyBorder="1" applyAlignment="1">
      <alignment vertical="center" wrapText="1"/>
    </xf>
    <xf numFmtId="0" fontId="107" fillId="39" borderId="10" xfId="0" applyFont="1" applyFill="1" applyBorder="1" applyAlignment="1">
      <alignment horizontal="center" vertical="center" wrapText="1"/>
    </xf>
    <xf numFmtId="0" fontId="25" fillId="13" borderId="45" xfId="0" applyFont="1" applyFill="1" applyBorder="1" applyAlignment="1">
      <alignment horizontal="center" vertical="center"/>
    </xf>
    <xf numFmtId="0" fontId="25" fillId="13" borderId="47" xfId="0" applyFont="1" applyFill="1" applyBorder="1" applyAlignment="1">
      <alignment vertical="center" wrapText="1"/>
    </xf>
    <xf numFmtId="0" fontId="33" fillId="13" borderId="10" xfId="0" applyFont="1" applyFill="1" applyBorder="1" applyAlignment="1">
      <alignment horizontal="center" vertical="center" wrapText="1"/>
    </xf>
    <xf numFmtId="0" fontId="107" fillId="18" borderId="45" xfId="0" applyFont="1" applyFill="1" applyBorder="1" applyAlignment="1">
      <alignment horizontal="center" vertical="center"/>
    </xf>
    <xf numFmtId="0" fontId="107" fillId="18" borderId="45" xfId="0" applyFont="1" applyFill="1" applyBorder="1" applyAlignment="1">
      <alignment horizontal="center" vertical="center" wrapText="1"/>
    </xf>
    <xf numFmtId="0" fontId="106" fillId="18" borderId="45" xfId="0" applyFont="1" applyFill="1" applyBorder="1" applyAlignment="1">
      <alignment vertical="center" wrapText="1"/>
    </xf>
    <xf numFmtId="0" fontId="107" fillId="18" borderId="45" xfId="0" applyFont="1" applyFill="1" applyBorder="1" applyAlignment="1">
      <alignment vertical="center" wrapText="1"/>
    </xf>
    <xf numFmtId="0" fontId="108" fillId="18" borderId="14" xfId="0" applyFont="1" applyFill="1" applyBorder="1" applyAlignment="1">
      <alignment horizontal="left" wrapText="1"/>
    </xf>
    <xf numFmtId="0" fontId="24" fillId="18" borderId="10" xfId="0" applyFont="1" applyFill="1" applyBorder="1" applyAlignment="1">
      <alignment horizontal="left" wrapText="1"/>
    </xf>
    <xf numFmtId="0" fontId="24" fillId="18" borderId="10" xfId="0" applyFont="1" applyFill="1" applyBorder="1" applyAlignment="1">
      <alignment/>
    </xf>
    <xf numFmtId="178" fontId="24" fillId="18" borderId="10" xfId="0" applyNumberFormat="1" applyFont="1" applyFill="1" applyBorder="1" applyAlignment="1">
      <alignment horizontal="center"/>
    </xf>
    <xf numFmtId="0" fontId="14" fillId="4" borderId="10" xfId="0" applyFont="1" applyFill="1" applyBorder="1" applyAlignment="1">
      <alignment horizontal="left" wrapText="1"/>
    </xf>
    <xf numFmtId="0" fontId="106" fillId="39" borderId="46" xfId="0" applyFont="1" applyFill="1" applyBorder="1" applyAlignment="1">
      <alignment vertical="center" wrapText="1"/>
    </xf>
    <xf numFmtId="0" fontId="106" fillId="39" borderId="48" xfId="0" applyFont="1" applyFill="1" applyBorder="1" applyAlignment="1">
      <alignment vertical="center" wrapText="1"/>
    </xf>
    <xf numFmtId="0" fontId="106" fillId="39" borderId="49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5" fillId="13" borderId="50" xfId="0" applyFont="1" applyFill="1" applyBorder="1" applyAlignment="1">
      <alignment horizontal="center" vertical="center"/>
    </xf>
    <xf numFmtId="0" fontId="106" fillId="39" borderId="10" xfId="0" applyFont="1" applyFill="1" applyBorder="1" applyAlignment="1">
      <alignment vertical="center"/>
    </xf>
    <xf numFmtId="0" fontId="107" fillId="18" borderId="46" xfId="0" applyFont="1" applyFill="1" applyBorder="1" applyAlignment="1">
      <alignment horizontal="center" vertical="center"/>
    </xf>
    <xf numFmtId="0" fontId="107" fillId="18" borderId="46" xfId="0" applyFont="1" applyFill="1" applyBorder="1" applyAlignment="1">
      <alignment horizontal="center" vertical="center" wrapText="1"/>
    </xf>
    <xf numFmtId="178" fontId="24" fillId="18" borderId="10" xfId="0" applyNumberFormat="1" applyFont="1" applyFill="1" applyBorder="1" applyAlignment="1">
      <alignment/>
    </xf>
    <xf numFmtId="178" fontId="14" fillId="18" borderId="10" xfId="0" applyNumberFormat="1" applyFont="1" applyFill="1" applyBorder="1" applyAlignment="1">
      <alignment horizontal="center"/>
    </xf>
    <xf numFmtId="195" fontId="14" fillId="13" borderId="10" xfId="103" applyNumberFormat="1" applyFont="1" applyFill="1" applyBorder="1" applyAlignment="1">
      <alignment horizontal="center"/>
    </xf>
    <xf numFmtId="1" fontId="109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50" fillId="0" borderId="0" xfId="0" applyFont="1" applyAlignment="1">
      <alignment/>
    </xf>
    <xf numFmtId="0" fontId="15" fillId="33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wrapText="1"/>
    </xf>
    <xf numFmtId="0" fontId="14" fillId="32" borderId="0" xfId="0" applyFont="1" applyFill="1" applyAlignment="1">
      <alignment/>
    </xf>
    <xf numFmtId="0" fontId="14" fillId="32" borderId="0" xfId="0" applyFont="1" applyFill="1" applyBorder="1" applyAlignment="1">
      <alignment horizontal="centerContinuous" wrapText="1"/>
    </xf>
    <xf numFmtId="0" fontId="40" fillId="32" borderId="0" xfId="0" applyFont="1" applyFill="1" applyBorder="1" applyAlignment="1">
      <alignment horizontal="centerContinuous" wrapText="1"/>
    </xf>
    <xf numFmtId="0" fontId="14" fillId="32" borderId="37" xfId="0" applyFont="1" applyFill="1" applyBorder="1" applyAlignment="1">
      <alignment horizontal="centerContinuous"/>
    </xf>
    <xf numFmtId="0" fontId="14" fillId="32" borderId="10" xfId="0" applyFont="1" applyFill="1" applyBorder="1" applyAlignment="1">
      <alignment horizontal="center" wrapText="1"/>
    </xf>
    <xf numFmtId="0" fontId="15" fillId="32" borderId="16" xfId="0" applyFont="1" applyFill="1" applyBorder="1" applyAlignment="1">
      <alignment horizontal="center" wrapText="1"/>
    </xf>
    <xf numFmtId="178" fontId="14" fillId="32" borderId="10" xfId="0" applyNumberFormat="1" applyFont="1" applyFill="1" applyBorder="1" applyAlignment="1">
      <alignment horizontal="center"/>
    </xf>
    <xf numFmtId="0" fontId="31" fillId="32" borderId="0" xfId="0" applyFont="1" applyFill="1" applyAlignment="1">
      <alignment/>
    </xf>
    <xf numFmtId="178" fontId="51" fillId="36" borderId="0" xfId="0" applyNumberFormat="1" applyFont="1" applyFill="1" applyAlignment="1">
      <alignment/>
    </xf>
    <xf numFmtId="0" fontId="31" fillId="32" borderId="0" xfId="0" applyFont="1" applyFill="1" applyBorder="1" applyAlignment="1">
      <alignment/>
    </xf>
    <xf numFmtId="0" fontId="31" fillId="36" borderId="0" xfId="0" applyFont="1" applyFill="1" applyBorder="1" applyAlignment="1">
      <alignment/>
    </xf>
    <xf numFmtId="178" fontId="14" fillId="32" borderId="0" xfId="0" applyNumberFormat="1" applyFont="1" applyFill="1" applyBorder="1" applyAlignment="1">
      <alignment horizontal="center"/>
    </xf>
    <xf numFmtId="178" fontId="14" fillId="36" borderId="0" xfId="0" applyNumberFormat="1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vertical="center"/>
    </xf>
    <xf numFmtId="0" fontId="16" fillId="12" borderId="10" xfId="0" applyFont="1" applyFill="1" applyBorder="1" applyAlignment="1">
      <alignment horizontal="center"/>
    </xf>
    <xf numFmtId="0" fontId="26" fillId="12" borderId="14" xfId="0" applyFont="1" applyFill="1" applyBorder="1" applyAlignment="1">
      <alignment horizontal="left" wrapText="1"/>
    </xf>
    <xf numFmtId="43" fontId="11" fillId="12" borderId="10" xfId="42" applyFont="1" applyFill="1" applyBorder="1" applyAlignment="1">
      <alignment horizontal="center"/>
    </xf>
    <xf numFmtId="0" fontId="35" fillId="12" borderId="10" xfId="0" applyFont="1" applyFill="1" applyBorder="1" applyAlignment="1">
      <alignment horizontal="center"/>
    </xf>
    <xf numFmtId="178" fontId="11" fillId="0" borderId="0" xfId="0" applyNumberFormat="1" applyFont="1" applyBorder="1" applyAlignment="1">
      <alignment horizontal="center"/>
    </xf>
    <xf numFmtId="0" fontId="14" fillId="33" borderId="11" xfId="0" applyFont="1" applyFill="1" applyBorder="1" applyAlignment="1">
      <alignment horizontal="center" wrapText="1"/>
    </xf>
    <xf numFmtId="0" fontId="24" fillId="33" borderId="0" xfId="0" applyFont="1" applyFill="1" applyAlignment="1">
      <alignment horizontal="centerContinuous"/>
    </xf>
    <xf numFmtId="0" fontId="33" fillId="33" borderId="0" xfId="0" applyFont="1" applyFill="1" applyAlignment="1">
      <alignment horizontal="centerContinuous"/>
    </xf>
    <xf numFmtId="0" fontId="13" fillId="33" borderId="0" xfId="0" applyFont="1" applyFill="1" applyAlignment="1">
      <alignment horizontal="centerContinuous"/>
    </xf>
    <xf numFmtId="1" fontId="14" fillId="33" borderId="10" xfId="0" applyNumberFormat="1" applyFont="1" applyFill="1" applyBorder="1" applyAlignment="1">
      <alignment/>
    </xf>
    <xf numFmtId="0" fontId="33" fillId="33" borderId="0" xfId="0" applyFont="1" applyFill="1" applyBorder="1" applyAlignment="1">
      <alignment wrapText="1"/>
    </xf>
    <xf numFmtId="0" fontId="33" fillId="33" borderId="0" xfId="0" applyFont="1" applyFill="1" applyBorder="1" applyAlignment="1">
      <alignment horizontal="center" wrapText="1"/>
    </xf>
    <xf numFmtId="0" fontId="24" fillId="33" borderId="0" xfId="0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37" xfId="0" applyFont="1" applyBorder="1" applyAlignment="1">
      <alignment horizontal="centerContinuous"/>
    </xf>
    <xf numFmtId="0" fontId="26" fillId="3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11" fillId="0" borderId="0" xfId="0" applyFont="1" applyAlignment="1">
      <alignment horizontal="center" wrapText="1"/>
    </xf>
    <xf numFmtId="189" fontId="11" fillId="0" borderId="0" xfId="42" applyNumberFormat="1" applyFont="1" applyAlignment="1">
      <alignment/>
    </xf>
    <xf numFmtId="0" fontId="99" fillId="0" borderId="0" xfId="0" applyFont="1" applyAlignment="1">
      <alignment/>
    </xf>
    <xf numFmtId="189" fontId="11" fillId="40" borderId="10" xfId="42" applyNumberFormat="1" applyFont="1" applyFill="1" applyBorder="1" applyAlignment="1">
      <alignment horizontal="center"/>
    </xf>
    <xf numFmtId="189" fontId="11" fillId="0" borderId="10" xfId="42" applyNumberFormat="1" applyFont="1" applyBorder="1" applyAlignment="1">
      <alignment horizontal="center"/>
    </xf>
    <xf numFmtId="189" fontId="11" fillId="34" borderId="10" xfId="42" applyNumberFormat="1" applyFont="1" applyFill="1" applyBorder="1" applyAlignment="1">
      <alignment horizontal="center"/>
    </xf>
    <xf numFmtId="189" fontId="13" fillId="0" borderId="10" xfId="42" applyNumberFormat="1" applyFont="1" applyBorder="1" applyAlignment="1">
      <alignment horizontal="center" wrapText="1"/>
    </xf>
    <xf numFmtId="178" fontId="11" fillId="34" borderId="10" xfId="0" applyNumberFormat="1" applyFont="1" applyFill="1" applyBorder="1" applyAlignment="1">
      <alignment horizontal="center" wrapText="1"/>
    </xf>
    <xf numFmtId="189" fontId="18" fillId="0" borderId="10" xfId="42" applyNumberFormat="1" applyFont="1" applyBorder="1" applyAlignment="1">
      <alignment horizontal="center"/>
    </xf>
    <xf numFmtId="0" fontId="14" fillId="33" borderId="0" xfId="0" applyFont="1" applyFill="1" applyAlignment="1">
      <alignment horizontal="left"/>
    </xf>
    <xf numFmtId="0" fontId="14" fillId="41" borderId="17" xfId="0" applyFont="1" applyFill="1" applyBorder="1" applyAlignment="1">
      <alignment horizontal="centerContinuous"/>
    </xf>
    <xf numFmtId="0" fontId="14" fillId="33" borderId="0" xfId="0" applyFont="1" applyFill="1" applyAlignment="1">
      <alignment horizontal="left" vertical="top"/>
    </xf>
    <xf numFmtId="0" fontId="14" fillId="33" borderId="0" xfId="0" applyFont="1" applyFill="1" applyAlignment="1">
      <alignment horizontal="left" vertical="center"/>
    </xf>
    <xf numFmtId="0" fontId="110" fillId="0" borderId="0" xfId="0" applyFont="1" applyAlignment="1">
      <alignment horizontal="left" wrapText="1"/>
    </xf>
    <xf numFmtId="189" fontId="31" fillId="32" borderId="0" xfId="42" applyNumberFormat="1" applyFont="1" applyFill="1" applyAlignment="1">
      <alignment/>
    </xf>
    <xf numFmtId="0" fontId="10" fillId="37" borderId="0" xfId="0" applyFont="1" applyFill="1" applyBorder="1" applyAlignment="1">
      <alignment horizontal="center" wrapText="1"/>
    </xf>
    <xf numFmtId="0" fontId="10" fillId="37" borderId="11" xfId="0" applyFont="1" applyFill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32" fillId="33" borderId="10" xfId="0" applyFont="1" applyFill="1" applyBorder="1" applyAlignment="1">
      <alignment horizontal="centerContinuous" wrapText="1"/>
    </xf>
    <xf numFmtId="0" fontId="109" fillId="0" borderId="0" xfId="0" applyFont="1" applyAlignment="1">
      <alignment horizontal="center"/>
    </xf>
    <xf numFmtId="0" fontId="14" fillId="33" borderId="0" xfId="0" applyFont="1" applyFill="1" applyBorder="1" applyAlignment="1">
      <alignment horizontal="left" wrapText="1"/>
    </xf>
    <xf numFmtId="0" fontId="23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11" fillId="0" borderId="10" xfId="0" applyFont="1" applyBorder="1" applyAlignment="1">
      <alignment horizontal="center" wrapText="1"/>
    </xf>
    <xf numFmtId="49" fontId="14" fillId="33" borderId="16" xfId="0" applyNumberFormat="1" applyFont="1" applyFill="1" applyBorder="1" applyAlignment="1">
      <alignment/>
    </xf>
    <xf numFmtId="178" fontId="11" fillId="37" borderId="10" xfId="0" applyNumberFormat="1" applyFont="1" applyFill="1" applyBorder="1" applyAlignment="1">
      <alignment horizontal="center" vertical="center" wrapText="1"/>
    </xf>
    <xf numFmtId="49" fontId="54" fillId="0" borderId="37" xfId="0" applyNumberFormat="1" applyFont="1" applyBorder="1" applyAlignment="1">
      <alignment horizontal="left" vertical="center"/>
    </xf>
    <xf numFmtId="49" fontId="16" fillId="0" borderId="37" xfId="82" applyNumberFormat="1" applyFont="1" applyBorder="1" applyAlignment="1">
      <alignment horizontal="left" vertical="center" wrapText="1"/>
      <protection/>
    </xf>
    <xf numFmtId="0" fontId="16" fillId="0" borderId="37" xfId="82" applyFont="1" applyBorder="1" applyAlignment="1">
      <alignment horizontal="left" vertical="center" wrapText="1"/>
      <protection/>
    </xf>
    <xf numFmtId="0" fontId="16" fillId="37" borderId="37" xfId="82" applyFont="1" applyFill="1" applyBorder="1" applyAlignment="1">
      <alignment horizontal="left" vertical="center" wrapText="1"/>
      <protection/>
    </xf>
    <xf numFmtId="0" fontId="26" fillId="10" borderId="10" xfId="0" applyFont="1" applyFill="1" applyBorder="1" applyAlignment="1">
      <alignment horizontal="center" wrapText="1"/>
    </xf>
    <xf numFmtId="49" fontId="16" fillId="37" borderId="37" xfId="82" applyNumberFormat="1" applyFont="1" applyFill="1" applyBorder="1" applyAlignment="1">
      <alignment horizontal="left" vertical="center" wrapText="1"/>
      <protection/>
    </xf>
    <xf numFmtId="0" fontId="112" fillId="0" borderId="0" xfId="0" applyFont="1" applyBorder="1" applyAlignment="1">
      <alignment vertical="center" wrapText="1"/>
    </xf>
    <xf numFmtId="0" fontId="16" fillId="0" borderId="0" xfId="82" applyFont="1" applyBorder="1" applyAlignment="1">
      <alignment horizontal="left" vertical="center" wrapText="1"/>
      <protection/>
    </xf>
    <xf numFmtId="0" fontId="16" fillId="37" borderId="0" xfId="82" applyFont="1" applyFill="1" applyBorder="1" applyAlignment="1">
      <alignment horizontal="left" vertical="center" wrapText="1"/>
      <protection/>
    </xf>
    <xf numFmtId="0" fontId="16" fillId="37" borderId="1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49" fontId="16" fillId="0" borderId="0" xfId="82" applyNumberFormat="1" applyFont="1" applyBorder="1" applyAlignment="1">
      <alignment horizontal="left" vertical="center" wrapText="1"/>
      <protection/>
    </xf>
    <xf numFmtId="0" fontId="10" fillId="37" borderId="0" xfId="0" applyFont="1" applyFill="1" applyBorder="1" applyAlignment="1">
      <alignment horizontal="center" wrapText="1"/>
    </xf>
    <xf numFmtId="178" fontId="26" fillId="10" borderId="10" xfId="0" applyNumberFormat="1" applyFont="1" applyFill="1" applyBorder="1" applyAlignment="1">
      <alignment horizontal="center"/>
    </xf>
    <xf numFmtId="178" fontId="30" fillId="0" borderId="0" xfId="0" applyNumberFormat="1" applyFont="1" applyAlignment="1">
      <alignment/>
    </xf>
    <xf numFmtId="200" fontId="11" fillId="0" borderId="0" xfId="0" applyNumberFormat="1" applyFont="1" applyAlignment="1">
      <alignment/>
    </xf>
    <xf numFmtId="0" fontId="15" fillId="42" borderId="10" xfId="0" applyFont="1" applyFill="1" applyBorder="1" applyAlignment="1">
      <alignment horizontal="center" wrapText="1"/>
    </xf>
    <xf numFmtId="1" fontId="11" fillId="0" borderId="0" xfId="0" applyNumberFormat="1" applyFont="1" applyAlignment="1">
      <alignment wrapText="1"/>
    </xf>
    <xf numFmtId="0" fontId="16" fillId="37" borderId="10" xfId="0" applyFont="1" applyFill="1" applyBorder="1" applyAlignment="1">
      <alignment horizontal="center" wrapText="1"/>
    </xf>
    <xf numFmtId="178" fontId="11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1" fillId="0" borderId="16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3" borderId="29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1" fillId="37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center"/>
    </xf>
    <xf numFmtId="178" fontId="13" fillId="37" borderId="10" xfId="0" applyNumberFormat="1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Continuous" vertical="top" wrapText="1"/>
    </xf>
    <xf numFmtId="0" fontId="47" fillId="0" borderId="0" xfId="0" applyFont="1" applyAlignment="1">
      <alignment horizontal="centerContinuous" wrapText="1"/>
    </xf>
    <xf numFmtId="0" fontId="13" fillId="33" borderId="10" xfId="0" applyFont="1" applyFill="1" applyBorder="1" applyAlignment="1">
      <alignment horizontal="left" vertical="center" wrapText="1"/>
    </xf>
    <xf numFmtId="0" fontId="10" fillId="37" borderId="0" xfId="0" applyFont="1" applyFill="1" applyBorder="1" applyAlignment="1">
      <alignment horizontal="right" wrapText="1"/>
    </xf>
    <xf numFmtId="178" fontId="14" fillId="35" borderId="29" xfId="0" applyNumberFormat="1" applyFont="1" applyFill="1" applyBorder="1" applyAlignment="1">
      <alignment wrapText="1"/>
    </xf>
    <xf numFmtId="0" fontId="15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/>
    </xf>
    <xf numFmtId="0" fontId="23" fillId="0" borderId="13" xfId="0" applyFont="1" applyBorder="1" applyAlignment="1">
      <alignment horizontal="center" wrapText="1"/>
    </xf>
    <xf numFmtId="0" fontId="23" fillId="0" borderId="37" xfId="0" applyFont="1" applyBorder="1" applyAlignment="1">
      <alignment horizontal="center" wrapText="1"/>
    </xf>
    <xf numFmtId="0" fontId="11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wrapText="1"/>
    </xf>
    <xf numFmtId="178" fontId="11" fillId="33" borderId="10" xfId="0" applyNumberFormat="1" applyFont="1" applyFill="1" applyBorder="1" applyAlignment="1">
      <alignment horizontal="left"/>
    </xf>
    <xf numFmtId="178" fontId="11" fillId="33" borderId="10" xfId="0" applyNumberFormat="1" applyFont="1" applyFill="1" applyBorder="1" applyAlignment="1">
      <alignment horizontal="left" wrapText="1"/>
    </xf>
    <xf numFmtId="1" fontId="14" fillId="33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1" fillId="37" borderId="10" xfId="0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/>
    </xf>
    <xf numFmtId="2" fontId="11" fillId="37" borderId="10" xfId="0" applyNumberFormat="1" applyFont="1" applyFill="1" applyBorder="1" applyAlignment="1">
      <alignment horizontal="center"/>
    </xf>
    <xf numFmtId="1" fontId="11" fillId="37" borderId="10" xfId="0" applyNumberFormat="1" applyFont="1" applyFill="1" applyBorder="1" applyAlignment="1">
      <alignment horizontal="center"/>
    </xf>
    <xf numFmtId="178" fontId="14" fillId="37" borderId="10" xfId="0" applyNumberFormat="1" applyFont="1" applyFill="1" applyBorder="1" applyAlignment="1">
      <alignment horizontal="center"/>
    </xf>
    <xf numFmtId="0" fontId="15" fillId="37" borderId="10" xfId="0" applyFont="1" applyFill="1" applyBorder="1" applyAlignment="1">
      <alignment/>
    </xf>
    <xf numFmtId="0" fontId="34" fillId="37" borderId="10" xfId="0" applyFont="1" applyFill="1" applyBorder="1" applyAlignment="1">
      <alignment/>
    </xf>
    <xf numFmtId="0" fontId="23" fillId="37" borderId="10" xfId="0" applyFont="1" applyFill="1" applyBorder="1" applyAlignment="1">
      <alignment wrapText="1"/>
    </xf>
    <xf numFmtId="2" fontId="14" fillId="37" borderId="10" xfId="0" applyNumberFormat="1" applyFont="1" applyFill="1" applyBorder="1" applyAlignment="1">
      <alignment horizontal="center"/>
    </xf>
    <xf numFmtId="1" fontId="18" fillId="33" borderId="10" xfId="0" applyNumberFormat="1" applyFont="1" applyFill="1" applyBorder="1" applyAlignment="1">
      <alignment horizontal="center"/>
    </xf>
    <xf numFmtId="178" fontId="11" fillId="0" borderId="0" xfId="0" applyNumberFormat="1" applyFont="1" applyAlignment="1">
      <alignment/>
    </xf>
    <xf numFmtId="178" fontId="11" fillId="33" borderId="0" xfId="0" applyNumberFormat="1" applyFont="1" applyFill="1" applyAlignment="1">
      <alignment horizontal="center" vertical="center"/>
    </xf>
    <xf numFmtId="0" fontId="14" fillId="37" borderId="0" xfId="0" applyFont="1" applyFill="1" applyAlignment="1">
      <alignment/>
    </xf>
    <xf numFmtId="0" fontId="24" fillId="37" borderId="10" xfId="0" applyFont="1" applyFill="1" applyBorder="1" applyAlignment="1">
      <alignment/>
    </xf>
    <xf numFmtId="178" fontId="14" fillId="37" borderId="10" xfId="0" applyNumberFormat="1" applyFont="1" applyFill="1" applyBorder="1" applyAlignment="1">
      <alignment horizontal="center" wrapText="1"/>
    </xf>
    <xf numFmtId="0" fontId="11" fillId="37" borderId="0" xfId="0" applyFont="1" applyFill="1" applyAlignment="1">
      <alignment/>
    </xf>
    <xf numFmtId="0" fontId="13" fillId="0" borderId="0" xfId="0" applyFont="1" applyAlignment="1">
      <alignment horizontal="center" vertical="top"/>
    </xf>
    <xf numFmtId="178" fontId="14" fillId="0" borderId="0" xfId="0" applyNumberFormat="1" applyFont="1" applyAlignment="1">
      <alignment/>
    </xf>
    <xf numFmtId="0" fontId="10" fillId="37" borderId="0" xfId="0" applyFont="1" applyFill="1" applyBorder="1" applyAlignment="1">
      <alignment horizontal="centerContinuous" wrapText="1"/>
    </xf>
    <xf numFmtId="0" fontId="24" fillId="37" borderId="0" xfId="0" applyFont="1" applyFill="1" applyAlignment="1">
      <alignment horizontal="centerContinuous"/>
    </xf>
    <xf numFmtId="0" fontId="11" fillId="37" borderId="0" xfId="0" applyFont="1" applyFill="1" applyAlignment="1">
      <alignment horizontal="centerContinuous"/>
    </xf>
    <xf numFmtId="0" fontId="11" fillId="37" borderId="38" xfId="0" applyFont="1" applyFill="1" applyBorder="1" applyAlignment="1">
      <alignment/>
    </xf>
    <xf numFmtId="0" fontId="11" fillId="37" borderId="16" xfId="0" applyFont="1" applyFill="1" applyBorder="1" applyAlignment="1">
      <alignment horizontal="center" vertical="center" wrapText="1"/>
    </xf>
    <xf numFmtId="178" fontId="11" fillId="37" borderId="10" xfId="0" applyNumberFormat="1" applyFont="1" applyFill="1" applyBorder="1" applyAlignment="1">
      <alignment horizontal="center"/>
    </xf>
    <xf numFmtId="178" fontId="11" fillId="37" borderId="10" xfId="0" applyNumberFormat="1" applyFont="1" applyFill="1" applyBorder="1" applyAlignment="1">
      <alignment horizontal="center" wrapText="1"/>
    </xf>
    <xf numFmtId="189" fontId="11" fillId="37" borderId="10" xfId="42" applyNumberFormat="1" applyFont="1" applyFill="1" applyBorder="1" applyAlignment="1">
      <alignment horizontal="center"/>
    </xf>
    <xf numFmtId="1" fontId="11" fillId="37" borderId="10" xfId="0" applyNumberFormat="1" applyFont="1" applyFill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2" fontId="30" fillId="10" borderId="10" xfId="0" applyNumberFormat="1" applyFont="1" applyFill="1" applyBorder="1" applyAlignment="1">
      <alignment horizontal="center"/>
    </xf>
    <xf numFmtId="178" fontId="18" fillId="0" borderId="10" xfId="0" applyNumberFormat="1" applyFont="1" applyBorder="1" applyAlignment="1">
      <alignment/>
    </xf>
    <xf numFmtId="178" fontId="18" fillId="0" borderId="0" xfId="0" applyNumberFormat="1" applyFont="1" applyAlignment="1">
      <alignment/>
    </xf>
    <xf numFmtId="0" fontId="7" fillId="33" borderId="0" xfId="0" applyFont="1" applyFill="1" applyAlignment="1">
      <alignment wrapText="1"/>
    </xf>
    <xf numFmtId="0" fontId="10" fillId="33" borderId="0" xfId="0" applyFont="1" applyFill="1" applyAlignment="1">
      <alignment horizontal="centerContinuous" wrapText="1"/>
    </xf>
    <xf numFmtId="0" fontId="10" fillId="33" borderId="0" xfId="0" applyFont="1" applyFill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vertical="center" wrapText="1"/>
    </xf>
    <xf numFmtId="0" fontId="24" fillId="0" borderId="16" xfId="0" applyFont="1" applyBorder="1" applyAlignment="1">
      <alignment horizontal="left" wrapText="1"/>
    </xf>
    <xf numFmtId="0" fontId="11" fillId="4" borderId="0" xfId="0" applyFont="1" applyFill="1" applyAlignment="1">
      <alignment/>
    </xf>
    <xf numFmtId="49" fontId="113" fillId="0" borderId="10" xfId="0" applyNumberFormat="1" applyFont="1" applyBorder="1" applyAlignment="1">
      <alignment horizontal="left" vertical="top" wrapText="1" shrinkToFit="1" readingOrder="1"/>
    </xf>
    <xf numFmtId="178" fontId="113" fillId="0" borderId="10" xfId="0" applyNumberFormat="1" applyFont="1" applyBorder="1" applyAlignment="1">
      <alignment horizontal="right" vertical="top" wrapText="1" shrinkToFit="1" readingOrder="1"/>
    </xf>
    <xf numFmtId="0" fontId="113" fillId="0" borderId="10" xfId="0" applyFont="1" applyBorder="1" applyAlignment="1">
      <alignment horizontal="right" vertical="top" wrapText="1" shrinkToFit="1" readingOrder="1"/>
    </xf>
    <xf numFmtId="49" fontId="114" fillId="0" borderId="51" xfId="0" applyNumberFormat="1" applyFont="1" applyBorder="1" applyAlignment="1">
      <alignment horizontal="left" vertical="top" wrapText="1" shrinkToFit="1" readingOrder="1"/>
    </xf>
    <xf numFmtId="49" fontId="115" fillId="0" borderId="51" xfId="0" applyNumberFormat="1" applyFont="1" applyBorder="1" applyAlignment="1">
      <alignment horizontal="left" vertical="top" wrapText="1" shrinkToFit="1" readingOrder="1"/>
    </xf>
    <xf numFmtId="49" fontId="113" fillId="0" borderId="51" xfId="0" applyNumberFormat="1" applyFont="1" applyBorder="1" applyAlignment="1">
      <alignment horizontal="left" vertical="center" wrapText="1" shrinkToFit="1" readingOrder="1"/>
    </xf>
    <xf numFmtId="0" fontId="106" fillId="39" borderId="0" xfId="0" applyFont="1" applyFill="1" applyAlignment="1">
      <alignment vertical="center"/>
    </xf>
    <xf numFmtId="49" fontId="114" fillId="0" borderId="52" xfId="0" applyNumberFormat="1" applyFont="1" applyBorder="1" applyAlignment="1">
      <alignment horizontal="left" vertical="top" wrapText="1" shrinkToFit="1" readingOrder="1"/>
    </xf>
    <xf numFmtId="49" fontId="114" fillId="0" borderId="10" xfId="0" applyNumberFormat="1" applyFont="1" applyBorder="1" applyAlignment="1">
      <alignment horizontal="left" vertical="top" wrapText="1" shrinkToFit="1" readingOrder="1"/>
    </xf>
    <xf numFmtId="204" fontId="115" fillId="0" borderId="10" xfId="0" applyNumberFormat="1" applyFont="1" applyBorder="1" applyAlignment="1">
      <alignment horizontal="right" vertical="top" wrapText="1" shrinkToFit="1" readingOrder="1"/>
    </xf>
    <xf numFmtId="2" fontId="11" fillId="0" borderId="10" xfId="0" applyNumberFormat="1" applyFont="1" applyBorder="1" applyAlignment="1">
      <alignment/>
    </xf>
    <xf numFmtId="49" fontId="113" fillId="0" borderId="51" xfId="0" applyNumberFormat="1" applyFont="1" applyBorder="1" applyAlignment="1">
      <alignment horizontal="left" vertical="top" wrapText="1" shrinkToFit="1" readingOrder="1"/>
    </xf>
    <xf numFmtId="0" fontId="18" fillId="37" borderId="10" xfId="0" applyFont="1" applyFill="1" applyBorder="1" applyAlignment="1">
      <alignment/>
    </xf>
    <xf numFmtId="178" fontId="30" fillId="37" borderId="10" xfId="0" applyNumberFormat="1" applyFont="1" applyFill="1" applyBorder="1" applyAlignment="1">
      <alignment horizontal="center"/>
    </xf>
    <xf numFmtId="178" fontId="18" fillId="37" borderId="10" xfId="0" applyNumberFormat="1" applyFont="1" applyFill="1" applyBorder="1" applyAlignment="1">
      <alignment horizontal="center"/>
    </xf>
    <xf numFmtId="0" fontId="18" fillId="37" borderId="37" xfId="0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/>
    </xf>
    <xf numFmtId="0" fontId="18" fillId="37" borderId="0" xfId="0" applyFont="1" applyFill="1" applyAlignment="1">
      <alignment/>
    </xf>
    <xf numFmtId="0" fontId="16" fillId="37" borderId="10" xfId="82" applyFont="1" applyFill="1" applyBorder="1" applyAlignment="1">
      <alignment horizontal="left" vertical="center" wrapText="1"/>
      <protection/>
    </xf>
    <xf numFmtId="178" fontId="31" fillId="0" borderId="0" xfId="0" applyNumberFormat="1" applyFont="1" applyAlignment="1">
      <alignment/>
    </xf>
    <xf numFmtId="43" fontId="31" fillId="32" borderId="0" xfId="0" applyNumberFormat="1" applyFont="1" applyFill="1" applyAlignment="1">
      <alignment/>
    </xf>
    <xf numFmtId="178" fontId="11" fillId="0" borderId="0" xfId="0" applyNumberFormat="1" applyFont="1" applyFill="1" applyAlignment="1">
      <alignment horizontal="center" vertical="center"/>
    </xf>
    <xf numFmtId="1" fontId="18" fillId="0" borderId="0" xfId="0" applyNumberFormat="1" applyFont="1" applyAlignment="1">
      <alignment/>
    </xf>
    <xf numFmtId="0" fontId="11" fillId="4" borderId="35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1" fillId="0" borderId="35" xfId="0" applyFont="1" applyBorder="1" applyAlignment="1">
      <alignment/>
    </xf>
    <xf numFmtId="1" fontId="14" fillId="36" borderId="10" xfId="0" applyNumberFormat="1" applyFont="1" applyFill="1" applyBorder="1" applyAlignment="1">
      <alignment horizontal="center"/>
    </xf>
    <xf numFmtId="1" fontId="14" fillId="32" borderId="10" xfId="0" applyNumberFormat="1" applyFont="1" applyFill="1" applyBorder="1" applyAlignment="1">
      <alignment horizontal="center"/>
    </xf>
    <xf numFmtId="0" fontId="11" fillId="37" borderId="10" xfId="0" applyFont="1" applyFill="1" applyBorder="1" applyAlignment="1">
      <alignment wrapText="1"/>
    </xf>
    <xf numFmtId="0" fontId="111" fillId="37" borderId="0" xfId="0" applyFont="1" applyFill="1" applyAlignment="1">
      <alignment horizontal="center" wrapText="1"/>
    </xf>
    <xf numFmtId="0" fontId="16" fillId="37" borderId="0" xfId="82" applyFont="1" applyFill="1" applyBorder="1" applyAlignment="1">
      <alignment vertical="center" wrapText="1"/>
      <protection/>
    </xf>
    <xf numFmtId="0" fontId="43" fillId="0" borderId="0" xfId="0" applyFont="1" applyAlignment="1">
      <alignment horizontal="left"/>
    </xf>
    <xf numFmtId="0" fontId="14" fillId="33" borderId="12" xfId="0" applyFont="1" applyFill="1" applyBorder="1" applyAlignment="1">
      <alignment/>
    </xf>
    <xf numFmtId="0" fontId="11" fillId="37" borderId="15" xfId="0" applyFont="1" applyFill="1" applyBorder="1" applyAlignment="1">
      <alignment/>
    </xf>
    <xf numFmtId="0" fontId="11" fillId="37" borderId="35" xfId="0" applyFont="1" applyFill="1" applyBorder="1" applyAlignment="1">
      <alignment/>
    </xf>
    <xf numFmtId="49" fontId="37" fillId="37" borderId="44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left" vertical="center" wrapText="1"/>
    </xf>
    <xf numFmtId="0" fontId="11" fillId="37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30" fillId="37" borderId="10" xfId="0" applyFont="1" applyFill="1" applyBorder="1" applyAlignment="1">
      <alignment horizontal="center" wrapText="1"/>
    </xf>
    <xf numFmtId="1" fontId="18" fillId="37" borderId="10" xfId="0" applyNumberFormat="1" applyFont="1" applyFill="1" applyBorder="1" applyAlignment="1">
      <alignment horizontal="center"/>
    </xf>
    <xf numFmtId="1" fontId="30" fillId="10" borderId="10" xfId="0" applyNumberFormat="1" applyFont="1" applyFill="1" applyBorder="1" applyAlignment="1">
      <alignment horizontal="center" wrapText="1"/>
    </xf>
    <xf numFmtId="178" fontId="11" fillId="0" borderId="0" xfId="0" applyNumberFormat="1" applyFont="1" applyAlignment="1">
      <alignment horizontal="center" vertical="center"/>
    </xf>
    <xf numFmtId="0" fontId="14" fillId="37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178" fontId="14" fillId="0" borderId="10" xfId="0" applyNumberFormat="1" applyFont="1" applyFill="1" applyBorder="1" applyAlignment="1">
      <alignment horizontal="center" wrapText="1"/>
    </xf>
    <xf numFmtId="49" fontId="37" fillId="0" borderId="35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178" fontId="11" fillId="33" borderId="12" xfId="0" applyNumberFormat="1" applyFont="1" applyFill="1" applyBorder="1" applyAlignment="1">
      <alignment horizontal="center" vertical="center" wrapText="1"/>
    </xf>
    <xf numFmtId="49" fontId="37" fillId="0" borderId="37" xfId="0" applyNumberFormat="1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/>
    </xf>
    <xf numFmtId="49" fontId="37" fillId="4" borderId="37" xfId="0" applyNumberFormat="1" applyFont="1" applyFill="1" applyBorder="1" applyAlignment="1">
      <alignment horizontal="center" vertical="center" wrapText="1"/>
    </xf>
    <xf numFmtId="178" fontId="11" fillId="37" borderId="10" xfId="0" applyNumberFormat="1" applyFont="1" applyFill="1" applyBorder="1" applyAlignment="1">
      <alignment horizontal="right" vertical="center" wrapText="1"/>
    </xf>
    <xf numFmtId="1" fontId="50" fillId="0" borderId="0" xfId="0" applyNumberFormat="1" applyFont="1" applyAlignment="1">
      <alignment/>
    </xf>
    <xf numFmtId="193" fontId="30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8" fontId="30" fillId="10" borderId="10" xfId="0" applyNumberFormat="1" applyFont="1" applyFill="1" applyBorder="1" applyAlignment="1">
      <alignment horizontal="center" wrapText="1"/>
    </xf>
    <xf numFmtId="2" fontId="31" fillId="32" borderId="0" xfId="0" applyNumberFormat="1" applyFont="1" applyFill="1" applyAlignment="1">
      <alignment/>
    </xf>
    <xf numFmtId="203" fontId="50" fillId="0" borderId="0" xfId="0" applyNumberFormat="1" applyFont="1" applyAlignment="1">
      <alignment/>
    </xf>
    <xf numFmtId="0" fontId="11" fillId="37" borderId="16" xfId="0" applyFont="1" applyFill="1" applyBorder="1" applyAlignment="1">
      <alignment wrapText="1"/>
    </xf>
    <xf numFmtId="0" fontId="11" fillId="33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179" fontId="18" fillId="0" borderId="0" xfId="0" applyNumberFormat="1" applyFont="1" applyAlignment="1">
      <alignment/>
    </xf>
    <xf numFmtId="0" fontId="100" fillId="0" borderId="10" xfId="0" applyFont="1" applyFill="1" applyBorder="1" applyAlignment="1">
      <alignment horizontal="center" vertical="center" wrapText="1"/>
    </xf>
    <xf numFmtId="0" fontId="109" fillId="0" borderId="0" xfId="0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/>
    </xf>
    <xf numFmtId="2" fontId="11" fillId="0" borderId="0" xfId="0" applyNumberFormat="1" applyFont="1" applyFill="1" applyAlignment="1">
      <alignment/>
    </xf>
    <xf numFmtId="0" fontId="100" fillId="0" borderId="1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16" fillId="0" borderId="53" xfId="0" applyFont="1" applyFill="1" applyBorder="1" applyAlignment="1">
      <alignment horizontal="center" vertical="top" wrapText="1"/>
    </xf>
    <xf numFmtId="0" fontId="116" fillId="0" borderId="44" xfId="0" applyFont="1" applyFill="1" applyBorder="1" applyAlignment="1">
      <alignment horizontal="center" vertical="top" wrapText="1"/>
    </xf>
    <xf numFmtId="0" fontId="100" fillId="0" borderId="53" xfId="0" applyFont="1" applyFill="1" applyBorder="1" applyAlignment="1">
      <alignment horizontal="center" vertical="top" wrapText="1"/>
    </xf>
    <xf numFmtId="0" fontId="100" fillId="0" borderId="35" xfId="0" applyFont="1" applyFill="1" applyBorder="1" applyAlignment="1">
      <alignment horizontal="center" vertical="top" wrapText="1"/>
    </xf>
    <xf numFmtId="0" fontId="100" fillId="0" borderId="44" xfId="0" applyFont="1" applyFill="1" applyBorder="1" applyAlignment="1">
      <alignment horizontal="center" vertical="top" wrapText="1"/>
    </xf>
    <xf numFmtId="49" fontId="105" fillId="0" borderId="15" xfId="0" applyNumberFormat="1" applyFont="1" applyFill="1" applyBorder="1" applyAlignment="1">
      <alignment horizontal="center" vertical="top" wrapText="1"/>
    </xf>
    <xf numFmtId="49" fontId="105" fillId="0" borderId="16" xfId="0" applyNumberFormat="1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center" wrapText="1"/>
    </xf>
    <xf numFmtId="178" fontId="11" fillId="0" borderId="0" xfId="0" applyNumberFormat="1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wrapText="1"/>
    </xf>
    <xf numFmtId="0" fontId="109" fillId="0" borderId="0" xfId="0" applyFont="1" applyFill="1" applyAlignment="1">
      <alignment horizontal="left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49" fontId="105" fillId="0" borderId="12" xfId="0" applyNumberFormat="1" applyFont="1" applyFill="1" applyBorder="1" applyAlignment="1">
      <alignment horizontal="center" vertical="top" wrapText="1"/>
    </xf>
    <xf numFmtId="0" fontId="10" fillId="37" borderId="0" xfId="0" applyFont="1" applyFill="1" applyBorder="1" applyAlignment="1">
      <alignment horizontal="center" wrapText="1"/>
    </xf>
    <xf numFmtId="0" fontId="111" fillId="37" borderId="0" xfId="0" applyFont="1" applyFill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6" fillId="0" borderId="40" xfId="0" applyFont="1" applyBorder="1" applyAlignment="1">
      <alignment horizontal="center" wrapText="1"/>
    </xf>
    <xf numFmtId="0" fontId="16" fillId="0" borderId="41" xfId="0" applyFont="1" applyBorder="1" applyAlignment="1">
      <alignment horizontal="center" wrapText="1"/>
    </xf>
    <xf numFmtId="0" fontId="16" fillId="0" borderId="43" xfId="0" applyFont="1" applyBorder="1" applyAlignment="1">
      <alignment horizontal="center" wrapText="1"/>
    </xf>
    <xf numFmtId="0" fontId="16" fillId="0" borderId="39" xfId="0" applyFont="1" applyBorder="1" applyAlignment="1">
      <alignment horizontal="center" wrapText="1"/>
    </xf>
    <xf numFmtId="0" fontId="16" fillId="0" borderId="5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6" fillId="0" borderId="0" xfId="0" applyFont="1" applyAlignment="1">
      <alignment horizontal="left" vertical="top" wrapText="1"/>
    </xf>
    <xf numFmtId="0" fontId="14" fillId="33" borderId="0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wrapText="1"/>
    </xf>
    <xf numFmtId="0" fontId="14" fillId="0" borderId="56" xfId="0" applyFont="1" applyBorder="1" applyAlignment="1">
      <alignment horizontal="center" vertical="center"/>
    </xf>
    <xf numFmtId="0" fontId="14" fillId="33" borderId="0" xfId="0" applyFont="1" applyFill="1" applyAlignment="1">
      <alignment horizontal="center" wrapText="1"/>
    </xf>
    <xf numFmtId="0" fontId="14" fillId="0" borderId="34" xfId="0" applyFont="1" applyFill="1" applyBorder="1" applyAlignment="1">
      <alignment horizontal="center" wrapText="1"/>
    </xf>
    <xf numFmtId="0" fontId="14" fillId="0" borderId="40" xfId="0" applyFont="1" applyFill="1" applyBorder="1" applyAlignment="1">
      <alignment horizontal="center" wrapText="1"/>
    </xf>
    <xf numFmtId="0" fontId="14" fillId="0" borderId="41" xfId="0" applyFont="1" applyFill="1" applyBorder="1" applyAlignment="1">
      <alignment horizontal="center" wrapText="1"/>
    </xf>
    <xf numFmtId="0" fontId="108" fillId="33" borderId="40" xfId="0" applyFont="1" applyFill="1" applyBorder="1" applyAlignment="1">
      <alignment horizontal="center" wrapText="1"/>
    </xf>
    <xf numFmtId="0" fontId="108" fillId="33" borderId="41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4" fillId="0" borderId="41" xfId="0" applyFont="1" applyBorder="1" applyAlignment="1">
      <alignment horizontal="center" wrapText="1"/>
    </xf>
    <xf numFmtId="0" fontId="10" fillId="37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 wrapText="1"/>
    </xf>
    <xf numFmtId="0" fontId="108" fillId="33" borderId="0" xfId="0" applyFont="1" applyFill="1" applyAlignment="1">
      <alignment horizontal="center" wrapText="1"/>
    </xf>
    <xf numFmtId="0" fontId="98" fillId="33" borderId="0" xfId="0" applyFont="1" applyFill="1" applyBorder="1" applyAlignment="1">
      <alignment horizontal="left" wrapText="1"/>
    </xf>
    <xf numFmtId="0" fontId="32" fillId="33" borderId="11" xfId="0" applyFont="1" applyFill="1" applyBorder="1" applyAlignment="1">
      <alignment horizontal="center" wrapText="1"/>
    </xf>
    <xf numFmtId="0" fontId="117" fillId="33" borderId="0" xfId="0" applyFont="1" applyFill="1" applyBorder="1" applyAlignment="1">
      <alignment horizontal="right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14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4" fillId="33" borderId="13" xfId="0" applyFont="1" applyFill="1" applyBorder="1" applyAlignment="1">
      <alignment horizontal="center" wrapText="1"/>
    </xf>
    <xf numFmtId="0" fontId="14" fillId="33" borderId="14" xfId="0" applyFont="1" applyFill="1" applyBorder="1" applyAlignment="1">
      <alignment horizontal="center" wrapText="1"/>
    </xf>
    <xf numFmtId="0" fontId="14" fillId="33" borderId="37" xfId="0" applyFont="1" applyFill="1" applyBorder="1" applyAlignment="1">
      <alignment horizontal="center" wrapText="1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37" xfId="0" applyFont="1" applyFill="1" applyBorder="1" applyAlignment="1">
      <alignment horizontal="center"/>
    </xf>
    <xf numFmtId="0" fontId="14" fillId="37" borderId="13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4" fillId="37" borderId="37" xfId="0" applyFont="1" applyFill="1" applyBorder="1" applyAlignment="1">
      <alignment horizontal="center"/>
    </xf>
    <xf numFmtId="0" fontId="23" fillId="0" borderId="13" xfId="0" applyFont="1" applyBorder="1" applyAlignment="1">
      <alignment horizontal="center" wrapText="1"/>
    </xf>
    <xf numFmtId="0" fontId="23" fillId="0" borderId="37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34" fillId="0" borderId="37" xfId="0" applyFont="1" applyBorder="1" applyAlignment="1">
      <alignment horizontal="center" wrapText="1"/>
    </xf>
    <xf numFmtId="0" fontId="108" fillId="0" borderId="0" xfId="0" applyFont="1" applyFill="1" applyBorder="1" applyAlignment="1">
      <alignment horizontal="left" wrapText="1"/>
    </xf>
    <xf numFmtId="0" fontId="15" fillId="43" borderId="12" xfId="0" applyFont="1" applyFill="1" applyBorder="1" applyAlignment="1">
      <alignment horizontal="center" wrapText="1"/>
    </xf>
    <xf numFmtId="0" fontId="15" fillId="43" borderId="16" xfId="0" applyFont="1" applyFill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23" fillId="37" borderId="13" xfId="0" applyFont="1" applyFill="1" applyBorder="1" applyAlignment="1">
      <alignment horizontal="center" wrapText="1"/>
    </xf>
    <xf numFmtId="0" fontId="23" fillId="37" borderId="37" xfId="0" applyFont="1" applyFill="1" applyBorder="1" applyAlignment="1">
      <alignment horizontal="center" wrapText="1"/>
    </xf>
  </cellXfs>
  <cellStyles count="1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2 3" xfId="47"/>
    <cellStyle name="Comma 2 4" xfId="48"/>
    <cellStyle name="Comma 3" xfId="49"/>
    <cellStyle name="Comma 3 2" xfId="50"/>
    <cellStyle name="Comma 3 2 2" xfId="51"/>
    <cellStyle name="Comma 3 3" xfId="52"/>
    <cellStyle name="Comma 4" xfId="53"/>
    <cellStyle name="Comma 5" xfId="54"/>
    <cellStyle name="Comma 6" xfId="55"/>
    <cellStyle name="Comma 6 2" xfId="56"/>
    <cellStyle name="Comma 6 2 2" xfId="57"/>
    <cellStyle name="Comma 6 3" xfId="58"/>
    <cellStyle name="Comma 7" xfId="59"/>
    <cellStyle name="Comma 7 2" xfId="60"/>
    <cellStyle name="Comma 7 2 2" xfId="61"/>
    <cellStyle name="Comma 7 3" xfId="62"/>
    <cellStyle name="Comma 8" xfId="63"/>
    <cellStyle name="Comma 9" xfId="64"/>
    <cellStyle name="Currency" xfId="65"/>
    <cellStyle name="Currency [0]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3" xfId="84"/>
    <cellStyle name="Normal 2 3 2" xfId="85"/>
    <cellStyle name="Normal 2 4" xfId="86"/>
    <cellStyle name="Normal 3" xfId="87"/>
    <cellStyle name="Normal 3 2" xfId="88"/>
    <cellStyle name="Normal 4" xfId="89"/>
    <cellStyle name="Normal 4 2" xfId="90"/>
    <cellStyle name="Normal 4 3" xfId="91"/>
    <cellStyle name="Normal 5" xfId="92"/>
    <cellStyle name="Normal 6" xfId="93"/>
    <cellStyle name="Normal 6 2" xfId="94"/>
    <cellStyle name="Normal 6 2 2" xfId="95"/>
    <cellStyle name="Normal 6 3" xfId="96"/>
    <cellStyle name="Normal 7" xfId="97"/>
    <cellStyle name="Normal 8" xfId="98"/>
    <cellStyle name="Normal 8 2" xfId="99"/>
    <cellStyle name="Normal 9" xfId="100"/>
    <cellStyle name="Note" xfId="101"/>
    <cellStyle name="Output" xfId="102"/>
    <cellStyle name="Percent" xfId="103"/>
    <cellStyle name="Style 1" xfId="104"/>
    <cellStyle name="Style 1 2" xfId="105"/>
    <cellStyle name="Style 1 3" xfId="106"/>
    <cellStyle name="Style 1 4" xfId="107"/>
    <cellStyle name="Title" xfId="108"/>
    <cellStyle name="Total" xfId="109"/>
    <cellStyle name="Warning Text" xfId="110"/>
    <cellStyle name="Обычный 2" xfId="111"/>
    <cellStyle name="Обычный 3" xfId="112"/>
    <cellStyle name="Обычный 4" xfId="113"/>
    <cellStyle name="Обычный 5" xfId="114"/>
    <cellStyle name="Обычный 7" xfId="115"/>
    <cellStyle name="Стиль 1" xfId="116"/>
    <cellStyle name="Стиль 1 2" xfId="117"/>
    <cellStyle name="Стиль 1 2 2" xfId="118"/>
    <cellStyle name="Стиль 1 2 3" xfId="119"/>
    <cellStyle name="Стиль 1 3" xfId="120"/>
    <cellStyle name="Финансовый 2" xfId="121"/>
    <cellStyle name="Финансовый 2 2" xfId="122"/>
    <cellStyle name="Финансовый 3" xfId="123"/>
    <cellStyle name="Финансовый 3 2" xfId="124"/>
    <cellStyle name="Финансовый 4" xfId="125"/>
    <cellStyle name="Финансовый 5" xfId="126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.avetikyan\Documents\2022\Budjet%202023\4.&#1343;&#1377;&#1404;&#1377;&#1406;&#1377;&#1408;&#1396;&#1377;&#1398;-&#1377;&#1402;&#1377;&#1408;&#1377;&#1407;-2023%20&#1383;&#1405;&#1407;%20&#1366;&#1350;%20&#1398;&#1377;&#1389;&#1377;&#1379;&#1390;&#13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ԱՄՓՈՓ"/>
      <sheetName val="2-ԸՆԴԱՄԵՆԸ ԾԱԽՍԵՐ"/>
      <sheetName val="3-Ծախսերի բացվածք"/>
      <sheetName val="4-ԿԱՊ"/>
      <sheetName val="7-էլ-էներգիա"/>
      <sheetName val="8-էլ-էներգիա-ջեռուցում"/>
      <sheetName val="10-գործուղում "/>
      <sheetName val="11-ավտոմեքենա"/>
      <sheetName val="12-վարչական սարքավորումներ"/>
      <sheetName val="14տարածքներ"/>
      <sheetName val="16վերապատրաստում"/>
      <sheetName val="17կառուցվածք"/>
      <sheetName val="18հաստիքացուցակ"/>
      <sheetName val="31աշխատավարձի ֆոնդ"/>
      <sheetName val="18հաստիքացուցակ 74230"/>
      <sheetName val="31աշխատավարձի ֆոնդ 74230"/>
    </sheetNames>
    <sheetDataSet>
      <sheetData sheetId="2">
        <row r="16">
          <cell r="G16">
            <v>68.27206320000002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K14" sqref="K14:O17"/>
    </sheetView>
  </sheetViews>
  <sheetFormatPr defaultColWidth="9.140625" defaultRowHeight="12.75"/>
  <cols>
    <col min="1" max="3" width="7.28125" style="15" customWidth="1"/>
    <col min="4" max="4" width="9.140625" style="15" customWidth="1"/>
    <col min="5" max="5" width="12.28125" style="15" customWidth="1"/>
    <col min="6" max="6" width="45.140625" style="15" customWidth="1"/>
    <col min="7" max="9" width="12.8515625" style="14" customWidth="1"/>
    <col min="10" max="10" width="9.140625" style="15" customWidth="1"/>
    <col min="11" max="11" width="10.421875" style="15" bestFit="1" customWidth="1"/>
    <col min="12" max="16384" width="9.140625" style="15" customWidth="1"/>
  </cols>
  <sheetData>
    <row r="1" spans="7:9" s="27" customFormat="1" ht="23.25" customHeight="1">
      <c r="G1" s="1"/>
      <c r="H1" s="2" t="s">
        <v>9</v>
      </c>
      <c r="I1" s="2"/>
    </row>
    <row r="2" spans="7:9" s="27" customFormat="1" ht="25.5">
      <c r="G2" s="2"/>
      <c r="H2" s="2"/>
      <c r="I2" s="2" t="s">
        <v>10</v>
      </c>
    </row>
    <row r="3" spans="1:9" s="27" customFormat="1" ht="27" customHeight="1" thickBot="1">
      <c r="A3" s="674" t="s">
        <v>454</v>
      </c>
      <c r="B3" s="674"/>
      <c r="C3" s="674"/>
      <c r="D3" s="674"/>
      <c r="E3" s="674"/>
      <c r="F3" s="674"/>
      <c r="G3" s="674"/>
      <c r="H3" s="2"/>
      <c r="I3" s="2"/>
    </row>
    <row r="4" spans="1:9" s="27" customFormat="1" ht="14.25">
      <c r="A4" s="673" t="s">
        <v>11</v>
      </c>
      <c r="B4" s="673"/>
      <c r="C4" s="673"/>
      <c r="D4" s="673"/>
      <c r="G4" s="19"/>
      <c r="H4" s="2"/>
      <c r="I4" s="2"/>
    </row>
    <row r="5" spans="7:9" s="27" customFormat="1" ht="13.5">
      <c r="G5" s="7"/>
      <c r="H5" s="7"/>
      <c r="I5" s="7"/>
    </row>
    <row r="6" spans="7:9" s="27" customFormat="1" ht="13.5" customHeight="1">
      <c r="G6" s="6"/>
      <c r="H6" s="7"/>
      <c r="I6" s="363" t="s">
        <v>240</v>
      </c>
    </row>
    <row r="7" spans="1:10" s="206" customFormat="1" ht="13.5" customHeight="1">
      <c r="A7" s="663" t="s">
        <v>211</v>
      </c>
      <c r="B7" s="663" t="s">
        <v>212</v>
      </c>
      <c r="C7" s="663" t="s">
        <v>213</v>
      </c>
      <c r="D7" s="663" t="s">
        <v>214</v>
      </c>
      <c r="E7" s="663"/>
      <c r="F7" s="663" t="s">
        <v>233</v>
      </c>
      <c r="G7" s="664" t="s">
        <v>317</v>
      </c>
      <c r="H7" s="664" t="s">
        <v>318</v>
      </c>
      <c r="I7" s="664" t="s">
        <v>252</v>
      </c>
      <c r="J7" s="205"/>
    </row>
    <row r="8" spans="1:10" s="206" customFormat="1" ht="26.25" customHeight="1">
      <c r="A8" s="663"/>
      <c r="B8" s="663"/>
      <c r="C8" s="663"/>
      <c r="D8" s="323" t="s">
        <v>215</v>
      </c>
      <c r="E8" s="323" t="s">
        <v>216</v>
      </c>
      <c r="F8" s="663"/>
      <c r="G8" s="665"/>
      <c r="H8" s="665"/>
      <c r="I8" s="665"/>
      <c r="J8" s="205"/>
    </row>
    <row r="9" spans="1:10" s="206" customFormat="1" ht="12.75">
      <c r="A9" s="342">
        <v>1</v>
      </c>
      <c r="B9" s="342">
        <v>2</v>
      </c>
      <c r="C9" s="342">
        <v>3</v>
      </c>
      <c r="D9" s="342">
        <v>4</v>
      </c>
      <c r="E9" s="325">
        <v>5</v>
      </c>
      <c r="F9" s="325">
        <v>6</v>
      </c>
      <c r="G9" s="325">
        <v>7</v>
      </c>
      <c r="H9" s="325">
        <v>8</v>
      </c>
      <c r="I9" s="325">
        <v>9</v>
      </c>
      <c r="J9" s="205"/>
    </row>
    <row r="10" spans="1:9" ht="16.5">
      <c r="A10" s="377"/>
      <c r="B10" s="377"/>
      <c r="C10" s="377"/>
      <c r="D10" s="377"/>
      <c r="E10" s="376"/>
      <c r="F10" s="324" t="s">
        <v>217</v>
      </c>
      <c r="G10" s="21"/>
      <c r="H10" s="21"/>
      <c r="I10" s="21"/>
    </row>
    <row r="11" spans="1:9" ht="24.75" customHeight="1">
      <c r="A11" s="671" t="s">
        <v>414</v>
      </c>
      <c r="B11" s="671" t="s">
        <v>415</v>
      </c>
      <c r="C11" s="671" t="s">
        <v>415</v>
      </c>
      <c r="D11" s="671" t="s">
        <v>416</v>
      </c>
      <c r="E11" s="668"/>
      <c r="F11" s="329" t="s">
        <v>685</v>
      </c>
      <c r="G11" s="13"/>
      <c r="H11" s="13"/>
      <c r="I11" s="13"/>
    </row>
    <row r="12" spans="1:11" ht="31.5" customHeight="1">
      <c r="A12" s="671"/>
      <c r="B12" s="671"/>
      <c r="C12" s="671"/>
      <c r="D12" s="671"/>
      <c r="E12" s="669"/>
      <c r="F12" s="216" t="s">
        <v>239</v>
      </c>
      <c r="G12" s="640">
        <f>+G15+G17</f>
        <v>321786.84599999996</v>
      </c>
      <c r="H12" s="640">
        <f>+H15+H17</f>
        <v>356799.19999999995</v>
      </c>
      <c r="I12" s="640">
        <f>+I15+I17</f>
        <v>620993.4977312</v>
      </c>
      <c r="K12" s="662"/>
    </row>
    <row r="13" spans="1:9" ht="24" customHeight="1">
      <c r="A13" s="671"/>
      <c r="B13" s="671"/>
      <c r="C13" s="671"/>
      <c r="D13" s="671"/>
      <c r="E13" s="670"/>
      <c r="F13" s="330" t="s">
        <v>217</v>
      </c>
      <c r="G13" s="13"/>
      <c r="H13" s="13"/>
      <c r="I13" s="13"/>
    </row>
    <row r="14" spans="1:9" ht="31.5" customHeight="1">
      <c r="A14" s="671"/>
      <c r="B14" s="671"/>
      <c r="C14" s="671"/>
      <c r="D14" s="671"/>
      <c r="E14" s="666" t="s">
        <v>684</v>
      </c>
      <c r="F14" s="329" t="s">
        <v>685</v>
      </c>
      <c r="G14" s="13"/>
      <c r="H14" s="13"/>
      <c r="I14" s="13"/>
    </row>
    <row r="15" spans="1:9" ht="31.5" customHeight="1">
      <c r="A15" s="671"/>
      <c r="B15" s="671"/>
      <c r="C15" s="671"/>
      <c r="D15" s="671"/>
      <c r="E15" s="667"/>
      <c r="F15" s="216" t="s">
        <v>241</v>
      </c>
      <c r="G15" s="13">
        <f>+'2-ԸՆԴԱՄԵՆԸ ԾԱԽՍԵՐ '!E16</f>
        <v>321786.84599999996</v>
      </c>
      <c r="H15" s="13">
        <f>+'2-ԸՆԴԱՄԵՆԸ ԾԱԽՍԵՐ '!F16</f>
        <v>356799.19999999995</v>
      </c>
      <c r="I15" s="13">
        <f>+'2-ԸՆԴԱՄԵՆԸ ԾԱԽՍԵՐ '!G16</f>
        <v>359950.49773119995</v>
      </c>
    </row>
    <row r="16" spans="1:9" ht="31.5" customHeight="1">
      <c r="A16" s="671"/>
      <c r="B16" s="671"/>
      <c r="C16" s="671"/>
      <c r="D16" s="671"/>
      <c r="E16" s="666">
        <v>31001</v>
      </c>
      <c r="F16" s="329" t="s">
        <v>838</v>
      </c>
      <c r="G16" s="13"/>
      <c r="H16" s="13"/>
      <c r="I16" s="13"/>
    </row>
    <row r="17" spans="1:9" ht="47.25" customHeight="1">
      <c r="A17" s="672"/>
      <c r="B17" s="672"/>
      <c r="C17" s="672"/>
      <c r="D17" s="672"/>
      <c r="E17" s="667"/>
      <c r="F17" s="216" t="s">
        <v>842</v>
      </c>
      <c r="G17" s="13">
        <f>+'2-ԸՆԴԱՄԵՆԸ ԾԱԽՍԵՐ '!E85</f>
        <v>0</v>
      </c>
      <c r="H17" s="13">
        <f>+'2-ԸՆԴԱՄԵՆԸ ԾԱԽՍԵՐ '!F85</f>
        <v>0</v>
      </c>
      <c r="I17" s="13">
        <f>+'2-ԸՆԴԱՄԵՆԸ ԾԱԽՍԵՐ '!G85</f>
        <v>261043</v>
      </c>
    </row>
  </sheetData>
  <sheetProtection/>
  <mergeCells count="17">
    <mergeCell ref="I7:I8"/>
    <mergeCell ref="D11:D17"/>
    <mergeCell ref="A4:D4"/>
    <mergeCell ref="A3:G3"/>
    <mergeCell ref="A11:A17"/>
    <mergeCell ref="B11:B17"/>
    <mergeCell ref="C11:C17"/>
    <mergeCell ref="G7:G8"/>
    <mergeCell ref="A7:A8"/>
    <mergeCell ref="F7:F8"/>
    <mergeCell ref="B7:B8"/>
    <mergeCell ref="H7:H8"/>
    <mergeCell ref="C7:C8"/>
    <mergeCell ref="E16:E17"/>
    <mergeCell ref="E14:E15"/>
    <mergeCell ref="D7:E7"/>
    <mergeCell ref="E11:E13"/>
  </mergeCells>
  <printOptions/>
  <pageMargins left="0.17" right="0.17" top="1" bottom="1" header="0.26" footer="0.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R197"/>
  <sheetViews>
    <sheetView zoomScalePageLayoutView="0" workbookViewId="0" topLeftCell="A16">
      <selection activeCell="G11" sqref="G11:K11"/>
    </sheetView>
  </sheetViews>
  <sheetFormatPr defaultColWidth="9.140625" defaultRowHeight="12.75"/>
  <cols>
    <col min="1" max="3" width="9.140625" style="4" customWidth="1"/>
    <col min="4" max="4" width="59.57421875" style="4" customWidth="1"/>
    <col min="5" max="5" width="19.140625" style="4" customWidth="1"/>
    <col min="6" max="6" width="9.28125" style="4" customWidth="1"/>
    <col min="7" max="7" width="8.57421875" style="4" bestFit="1" customWidth="1"/>
    <col min="8" max="8" width="11.140625" style="4" customWidth="1"/>
    <col min="9" max="9" width="12.421875" style="4" bestFit="1" customWidth="1"/>
    <col min="10" max="10" width="11.140625" style="4" customWidth="1"/>
    <col min="11" max="11" width="14.8515625" style="4" customWidth="1"/>
    <col min="12" max="12" width="9.57421875" style="4" customWidth="1"/>
    <col min="13" max="13" width="11.8515625" style="4" customWidth="1"/>
    <col min="14" max="14" width="11.00390625" style="4" customWidth="1"/>
    <col min="15" max="15" width="9.57421875" style="4" customWidth="1"/>
    <col min="16" max="16" width="11.8515625" style="4" customWidth="1"/>
    <col min="17" max="17" width="11.00390625" style="4" customWidth="1"/>
    <col min="18" max="16384" width="9.140625" style="4" customWidth="1"/>
  </cols>
  <sheetData>
    <row r="1" spans="1:252" ht="13.5">
      <c r="A1" s="27"/>
      <c r="B1" s="27"/>
      <c r="C1" s="587"/>
      <c r="D1" s="588"/>
      <c r="E1" s="588"/>
      <c r="F1" s="588"/>
      <c r="G1" s="87"/>
      <c r="H1" s="87"/>
      <c r="I1" s="588"/>
      <c r="J1" s="26"/>
      <c r="K1" s="589" t="s">
        <v>109</v>
      </c>
      <c r="L1" s="588"/>
      <c r="M1" s="26"/>
      <c r="N1" s="26"/>
      <c r="O1" s="26"/>
      <c r="P1" s="26"/>
      <c r="Q1" s="26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</row>
    <row r="2" spans="1:252" ht="13.5" customHeight="1">
      <c r="A2" s="27"/>
      <c r="B2" s="27"/>
      <c r="C2" s="587"/>
      <c r="D2" s="588"/>
      <c r="E2" s="588"/>
      <c r="F2" s="588"/>
      <c r="G2" s="87"/>
      <c r="H2" s="87"/>
      <c r="I2" s="588"/>
      <c r="J2" s="719" t="s">
        <v>10</v>
      </c>
      <c r="K2" s="719"/>
      <c r="L2" s="719"/>
      <c r="M2" s="26"/>
      <c r="N2" s="26"/>
      <c r="O2" s="26"/>
      <c r="P2" s="26"/>
      <c r="Q2" s="26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</row>
    <row r="3" spans="1:252" ht="14.25" thickBot="1">
      <c r="A3" s="27"/>
      <c r="B3" s="27"/>
      <c r="C3" s="26"/>
      <c r="D3" s="674" t="s">
        <v>454</v>
      </c>
      <c r="E3" s="674"/>
      <c r="F3" s="674"/>
      <c r="G3" s="674"/>
      <c r="H3" s="674"/>
      <c r="I3" s="88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</row>
    <row r="4" spans="3:16" ht="13.5">
      <c r="C4" s="26"/>
      <c r="D4" s="720" t="s">
        <v>11</v>
      </c>
      <c r="E4" s="720"/>
      <c r="F4" s="720"/>
      <c r="G4" s="720"/>
      <c r="H4" s="720"/>
      <c r="I4" s="27"/>
      <c r="J4" s="36"/>
      <c r="K4" s="27"/>
      <c r="L4" s="27"/>
      <c r="M4" s="27"/>
      <c r="N4" s="27"/>
      <c r="O4" s="27"/>
      <c r="P4" s="27"/>
    </row>
    <row r="5" spans="1:252" ht="14.25" customHeight="1">
      <c r="A5" s="142"/>
      <c r="B5" s="142"/>
      <c r="C5" s="710" t="s">
        <v>96</v>
      </c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27"/>
      <c r="O5" s="142"/>
      <c r="P5" s="142"/>
      <c r="Q5" s="27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</row>
    <row r="6" spans="1:252" ht="13.5">
      <c r="A6" s="78"/>
      <c r="B6" s="78"/>
      <c r="C6" s="78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27"/>
      <c r="O6" s="140"/>
      <c r="P6" s="140"/>
      <c r="Q6" s="27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</row>
    <row r="7" spans="1:252" ht="14.25" customHeight="1">
      <c r="A7" s="142"/>
      <c r="B7" s="142"/>
      <c r="C7" s="710" t="s">
        <v>389</v>
      </c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27"/>
      <c r="O7" s="142"/>
      <c r="P7" s="142"/>
      <c r="Q7" s="27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</row>
    <row r="8" spans="1:252" ht="31.5" customHeight="1">
      <c r="A8" s="142"/>
      <c r="B8" s="142"/>
      <c r="C8" s="721" t="s">
        <v>312</v>
      </c>
      <c r="D8" s="721"/>
      <c r="E8" s="721"/>
      <c r="F8" s="721"/>
      <c r="G8" s="721"/>
      <c r="H8" s="721"/>
      <c r="I8" s="721"/>
      <c r="J8" s="721"/>
      <c r="K8" s="721"/>
      <c r="L8" s="721"/>
      <c r="M8" s="721"/>
      <c r="N8" s="27"/>
      <c r="O8" s="142"/>
      <c r="P8" s="142"/>
      <c r="Q8" s="27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  <c r="IH8" s="142"/>
      <c r="II8" s="142"/>
      <c r="IJ8" s="142"/>
      <c r="IK8" s="142"/>
      <c r="IL8" s="142"/>
      <c r="IM8" s="142"/>
      <c r="IN8" s="142"/>
      <c r="IO8" s="142"/>
      <c r="IP8" s="142"/>
      <c r="IQ8" s="142"/>
      <c r="IR8" s="142"/>
    </row>
    <row r="9" spans="1:252" ht="14.25">
      <c r="A9" s="142"/>
      <c r="B9" s="142"/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2"/>
      <c r="O9" s="143"/>
      <c r="P9" s="143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</row>
    <row r="10" spans="1:252" ht="15" thickBot="1">
      <c r="A10" s="142"/>
      <c r="B10" s="142"/>
      <c r="C10" s="142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2"/>
      <c r="O10" s="143"/>
      <c r="P10" s="143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  <c r="IN10" s="142"/>
      <c r="IO10" s="142"/>
      <c r="IP10" s="142"/>
      <c r="IQ10" s="142"/>
      <c r="IR10" s="142"/>
    </row>
    <row r="11" spans="1:252" ht="41.25" customHeight="1" thickBot="1">
      <c r="A11" s="423"/>
      <c r="B11" s="423"/>
      <c r="C11" s="423"/>
      <c r="D11" s="425"/>
      <c r="E11" s="426" t="s">
        <v>298</v>
      </c>
      <c r="F11" s="155"/>
      <c r="G11" s="714" t="s">
        <v>313</v>
      </c>
      <c r="H11" s="714"/>
      <c r="I11" s="714"/>
      <c r="J11" s="714"/>
      <c r="K11" s="715"/>
      <c r="L11" s="716" t="s">
        <v>324</v>
      </c>
      <c r="M11" s="717"/>
      <c r="N11" s="718"/>
      <c r="O11" s="716" t="s">
        <v>321</v>
      </c>
      <c r="P11" s="717"/>
      <c r="Q11" s="71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</row>
    <row r="12" spans="1:252" ht="67.5">
      <c r="A12" s="156" t="s">
        <v>295</v>
      </c>
      <c r="B12" s="156" t="s">
        <v>296</v>
      </c>
      <c r="C12" s="156" t="s">
        <v>297</v>
      </c>
      <c r="D12" s="424"/>
      <c r="E12" s="156" t="s">
        <v>299</v>
      </c>
      <c r="F12" s="156" t="s">
        <v>118</v>
      </c>
      <c r="G12" s="590" t="s">
        <v>114</v>
      </c>
      <c r="H12" s="591" t="s">
        <v>119</v>
      </c>
      <c r="I12" s="591" t="s">
        <v>120</v>
      </c>
      <c r="J12" s="591" t="s">
        <v>311</v>
      </c>
      <c r="K12" s="591" t="s">
        <v>310</v>
      </c>
      <c r="L12" s="591" t="s">
        <v>114</v>
      </c>
      <c r="M12" s="591" t="s">
        <v>115</v>
      </c>
      <c r="N12" s="591" t="s">
        <v>116</v>
      </c>
      <c r="O12" s="591" t="s">
        <v>114</v>
      </c>
      <c r="P12" s="591" t="s">
        <v>115</v>
      </c>
      <c r="Q12" s="591" t="s">
        <v>116</v>
      </c>
      <c r="R12" s="592"/>
      <c r="S12" s="592"/>
      <c r="T12" s="592"/>
      <c r="U12" s="592"/>
      <c r="V12" s="592"/>
      <c r="W12" s="592"/>
      <c r="X12" s="592"/>
      <c r="Y12" s="592"/>
      <c r="Z12" s="592"/>
      <c r="AA12" s="592"/>
      <c r="AB12" s="592"/>
      <c r="AC12" s="592"/>
      <c r="AD12" s="592"/>
      <c r="AE12" s="592"/>
      <c r="AF12" s="592"/>
      <c r="AG12" s="592"/>
      <c r="AH12" s="592"/>
      <c r="AI12" s="592"/>
      <c r="AJ12" s="592"/>
      <c r="AK12" s="592"/>
      <c r="AL12" s="592"/>
      <c r="AM12" s="592"/>
      <c r="AN12" s="592"/>
      <c r="AO12" s="592"/>
      <c r="AP12" s="592"/>
      <c r="AQ12" s="592"/>
      <c r="AR12" s="592"/>
      <c r="AS12" s="592"/>
      <c r="AT12" s="592"/>
      <c r="AU12" s="592"/>
      <c r="AV12" s="592"/>
      <c r="AW12" s="592"/>
      <c r="AX12" s="592"/>
      <c r="AY12" s="592"/>
      <c r="AZ12" s="592"/>
      <c r="BA12" s="592"/>
      <c r="BB12" s="592"/>
      <c r="BC12" s="592"/>
      <c r="BD12" s="592"/>
      <c r="BE12" s="592"/>
      <c r="BF12" s="592"/>
      <c r="BG12" s="592"/>
      <c r="BH12" s="592"/>
      <c r="BI12" s="592"/>
      <c r="BJ12" s="592"/>
      <c r="BK12" s="592"/>
      <c r="BL12" s="592"/>
      <c r="BM12" s="592"/>
      <c r="BN12" s="592"/>
      <c r="BO12" s="592"/>
      <c r="BP12" s="592"/>
      <c r="BQ12" s="592"/>
      <c r="BR12" s="592"/>
      <c r="BS12" s="592"/>
      <c r="BT12" s="592"/>
      <c r="BU12" s="592"/>
      <c r="BV12" s="592"/>
      <c r="BW12" s="592"/>
      <c r="BX12" s="592"/>
      <c r="BY12" s="592"/>
      <c r="BZ12" s="592"/>
      <c r="CA12" s="592"/>
      <c r="CB12" s="592"/>
      <c r="CC12" s="592"/>
      <c r="CD12" s="592"/>
      <c r="CE12" s="592"/>
      <c r="CF12" s="592"/>
      <c r="CG12" s="592"/>
      <c r="CH12" s="592"/>
      <c r="CI12" s="592"/>
      <c r="CJ12" s="592"/>
      <c r="CK12" s="592"/>
      <c r="CL12" s="592"/>
      <c r="CM12" s="592"/>
      <c r="CN12" s="592"/>
      <c r="CO12" s="592"/>
      <c r="CP12" s="592"/>
      <c r="CQ12" s="592"/>
      <c r="CR12" s="592"/>
      <c r="CS12" s="592"/>
      <c r="CT12" s="592"/>
      <c r="CU12" s="592"/>
      <c r="CV12" s="592"/>
      <c r="CW12" s="592"/>
      <c r="CX12" s="592"/>
      <c r="CY12" s="592"/>
      <c r="CZ12" s="592"/>
      <c r="DA12" s="592"/>
      <c r="DB12" s="592"/>
      <c r="DC12" s="592"/>
      <c r="DD12" s="592"/>
      <c r="DE12" s="592"/>
      <c r="DF12" s="592"/>
      <c r="DG12" s="592"/>
      <c r="DH12" s="592"/>
      <c r="DI12" s="592"/>
      <c r="DJ12" s="592"/>
      <c r="DK12" s="592"/>
      <c r="DL12" s="592"/>
      <c r="DM12" s="592"/>
      <c r="DN12" s="592"/>
      <c r="DO12" s="592"/>
      <c r="DP12" s="592"/>
      <c r="DQ12" s="592"/>
      <c r="DR12" s="592"/>
      <c r="DS12" s="592"/>
      <c r="DT12" s="592"/>
      <c r="DU12" s="592"/>
      <c r="DV12" s="592"/>
      <c r="DW12" s="592"/>
      <c r="DX12" s="592"/>
      <c r="DY12" s="592"/>
      <c r="DZ12" s="592"/>
      <c r="EA12" s="592"/>
      <c r="EB12" s="592"/>
      <c r="EC12" s="592"/>
      <c r="ED12" s="592"/>
      <c r="EE12" s="592"/>
      <c r="EF12" s="592"/>
      <c r="EG12" s="592"/>
      <c r="EH12" s="592"/>
      <c r="EI12" s="592"/>
      <c r="EJ12" s="592"/>
      <c r="EK12" s="592"/>
      <c r="EL12" s="592"/>
      <c r="EM12" s="592"/>
      <c r="EN12" s="592"/>
      <c r="EO12" s="592"/>
      <c r="EP12" s="592"/>
      <c r="EQ12" s="592"/>
      <c r="ER12" s="592"/>
      <c r="ES12" s="592"/>
      <c r="ET12" s="592"/>
      <c r="EU12" s="592"/>
      <c r="EV12" s="592"/>
      <c r="EW12" s="592"/>
      <c r="EX12" s="592"/>
      <c r="EY12" s="592"/>
      <c r="EZ12" s="592"/>
      <c r="FA12" s="592"/>
      <c r="FB12" s="592"/>
      <c r="FC12" s="592"/>
      <c r="FD12" s="592"/>
      <c r="FE12" s="592"/>
      <c r="FF12" s="592"/>
      <c r="FG12" s="592"/>
      <c r="FH12" s="592"/>
      <c r="FI12" s="592"/>
      <c r="FJ12" s="592"/>
      <c r="FK12" s="592"/>
      <c r="FL12" s="592"/>
      <c r="FM12" s="592"/>
      <c r="FN12" s="592"/>
      <c r="FO12" s="592"/>
      <c r="FP12" s="592"/>
      <c r="FQ12" s="592"/>
      <c r="FR12" s="592"/>
      <c r="FS12" s="592"/>
      <c r="FT12" s="592"/>
      <c r="FU12" s="592"/>
      <c r="FV12" s="592"/>
      <c r="FW12" s="592"/>
      <c r="FX12" s="592"/>
      <c r="FY12" s="592"/>
      <c r="FZ12" s="592"/>
      <c r="GA12" s="592"/>
      <c r="GB12" s="592"/>
      <c r="GC12" s="592"/>
      <c r="GD12" s="592"/>
      <c r="GE12" s="592"/>
      <c r="GF12" s="592"/>
      <c r="GG12" s="592"/>
      <c r="GH12" s="592"/>
      <c r="GI12" s="592"/>
      <c r="GJ12" s="592"/>
      <c r="GK12" s="592"/>
      <c r="GL12" s="592"/>
      <c r="GM12" s="592"/>
      <c r="GN12" s="592"/>
      <c r="GO12" s="592"/>
      <c r="GP12" s="592"/>
      <c r="GQ12" s="592"/>
      <c r="GR12" s="592"/>
      <c r="GS12" s="592"/>
      <c r="GT12" s="592"/>
      <c r="GU12" s="592"/>
      <c r="GV12" s="592"/>
      <c r="GW12" s="592"/>
      <c r="GX12" s="592"/>
      <c r="GY12" s="592"/>
      <c r="GZ12" s="592"/>
      <c r="HA12" s="592"/>
      <c r="HB12" s="592"/>
      <c r="HC12" s="592"/>
      <c r="HD12" s="592"/>
      <c r="HE12" s="592"/>
      <c r="HF12" s="592"/>
      <c r="HG12" s="592"/>
      <c r="HH12" s="592"/>
      <c r="HI12" s="592"/>
      <c r="HJ12" s="592"/>
      <c r="HK12" s="592"/>
      <c r="HL12" s="592"/>
      <c r="HM12" s="592"/>
      <c r="HN12" s="592"/>
      <c r="HO12" s="592"/>
      <c r="HP12" s="592"/>
      <c r="HQ12" s="592"/>
      <c r="HR12" s="592"/>
      <c r="HS12" s="592"/>
      <c r="HT12" s="592"/>
      <c r="HU12" s="592"/>
      <c r="HV12" s="592"/>
      <c r="HW12" s="592"/>
      <c r="HX12" s="592"/>
      <c r="HY12" s="592"/>
      <c r="HZ12" s="592"/>
      <c r="IA12" s="592"/>
      <c r="IB12" s="592"/>
      <c r="IC12" s="592"/>
      <c r="ID12" s="592"/>
      <c r="IE12" s="592"/>
      <c r="IF12" s="592"/>
      <c r="IG12" s="592"/>
      <c r="IH12" s="592"/>
      <c r="II12" s="592"/>
      <c r="IJ12" s="592"/>
      <c r="IK12" s="592"/>
      <c r="IL12" s="592"/>
      <c r="IM12" s="592"/>
      <c r="IN12" s="592"/>
      <c r="IO12" s="592"/>
      <c r="IP12" s="592"/>
      <c r="IQ12" s="592"/>
      <c r="IR12" s="592"/>
    </row>
    <row r="13" spans="1:252" ht="13.5" customHeight="1">
      <c r="A13" s="102">
        <v>1</v>
      </c>
      <c r="B13" s="102">
        <v>2</v>
      </c>
      <c r="C13" s="102">
        <v>3</v>
      </c>
      <c r="D13" s="102">
        <v>4</v>
      </c>
      <c r="E13" s="102">
        <v>5</v>
      </c>
      <c r="F13" s="102">
        <v>6</v>
      </c>
      <c r="G13" s="102">
        <v>7</v>
      </c>
      <c r="H13" s="102">
        <v>8</v>
      </c>
      <c r="I13" s="102">
        <v>9</v>
      </c>
      <c r="J13" s="102">
        <v>11</v>
      </c>
      <c r="K13" s="102">
        <v>12</v>
      </c>
      <c r="L13" s="102">
        <v>13</v>
      </c>
      <c r="M13" s="102">
        <v>14</v>
      </c>
      <c r="N13" s="102">
        <v>15</v>
      </c>
      <c r="O13" s="102">
        <v>16</v>
      </c>
      <c r="P13" s="102">
        <v>17</v>
      </c>
      <c r="Q13" s="102">
        <v>18</v>
      </c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  <c r="FT13" s="152"/>
      <c r="FU13" s="152"/>
      <c r="FV13" s="152"/>
      <c r="FW13" s="152"/>
      <c r="FX13" s="152"/>
      <c r="FY13" s="152"/>
      <c r="FZ13" s="152"/>
      <c r="GA13" s="152"/>
      <c r="GB13" s="152"/>
      <c r="GC13" s="152"/>
      <c r="GD13" s="152"/>
      <c r="GE13" s="152"/>
      <c r="GF13" s="152"/>
      <c r="GG13" s="152"/>
      <c r="GH13" s="152"/>
      <c r="GI13" s="152"/>
      <c r="GJ13" s="152"/>
      <c r="GK13" s="152"/>
      <c r="GL13" s="152"/>
      <c r="GM13" s="152"/>
      <c r="GN13" s="152"/>
      <c r="GO13" s="152"/>
      <c r="GP13" s="152"/>
      <c r="GQ13" s="152"/>
      <c r="GR13" s="152"/>
      <c r="GS13" s="152"/>
      <c r="GT13" s="152"/>
      <c r="GU13" s="152"/>
      <c r="GV13" s="152"/>
      <c r="GW13" s="152"/>
      <c r="GX13" s="152"/>
      <c r="GY13" s="152"/>
      <c r="GZ13" s="152"/>
      <c r="HA13" s="152"/>
      <c r="HB13" s="152"/>
      <c r="HC13" s="152"/>
      <c r="HD13" s="152"/>
      <c r="HE13" s="152"/>
      <c r="HF13" s="152"/>
      <c r="HG13" s="152"/>
      <c r="HH13" s="152"/>
      <c r="HI13" s="152"/>
      <c r="HJ13" s="152"/>
      <c r="HK13" s="152"/>
      <c r="HL13" s="152"/>
      <c r="HM13" s="152"/>
      <c r="HN13" s="152"/>
      <c r="HO13" s="152"/>
      <c r="HP13" s="152"/>
      <c r="HQ13" s="152"/>
      <c r="HR13" s="152"/>
      <c r="HS13" s="152"/>
      <c r="HT13" s="152"/>
      <c r="HU13" s="152"/>
      <c r="HV13" s="152"/>
      <c r="HW13" s="152"/>
      <c r="HX13" s="152"/>
      <c r="HY13" s="152"/>
      <c r="HZ13" s="152"/>
      <c r="IA13" s="152"/>
      <c r="IB13" s="152"/>
      <c r="IC13" s="152"/>
      <c r="ID13" s="152"/>
      <c r="IE13" s="152"/>
      <c r="IF13" s="152"/>
      <c r="IG13" s="152"/>
      <c r="IH13" s="152"/>
      <c r="II13" s="152"/>
      <c r="IJ13" s="152"/>
      <c r="IK13" s="152"/>
      <c r="IL13" s="152"/>
      <c r="IM13" s="152"/>
      <c r="IN13" s="152"/>
      <c r="IO13" s="152"/>
      <c r="IP13" s="152"/>
      <c r="IQ13" s="152"/>
      <c r="IR13" s="152"/>
    </row>
    <row r="14" spans="3:17" ht="20.25" customHeight="1">
      <c r="C14" s="151"/>
      <c r="D14" s="593"/>
      <c r="E14" s="593"/>
      <c r="F14" s="397"/>
      <c r="G14" s="397"/>
      <c r="H14" s="397"/>
      <c r="I14" s="397"/>
      <c r="J14" s="434">
        <v>2024</v>
      </c>
      <c r="K14" s="398"/>
      <c r="L14" s="398"/>
      <c r="M14" s="398"/>
      <c r="N14" s="398"/>
      <c r="O14" s="398"/>
      <c r="P14" s="398"/>
      <c r="Q14" s="398"/>
    </row>
    <row r="15" spans="1:17" ht="33">
      <c r="A15" s="414">
        <v>6</v>
      </c>
      <c r="B15" s="415"/>
      <c r="C15" s="416"/>
      <c r="D15" s="417" t="s">
        <v>300</v>
      </c>
      <c r="E15" s="418"/>
      <c r="F15" s="419"/>
      <c r="G15" s="431">
        <f>+G17+G40+G68</f>
        <v>159</v>
      </c>
      <c r="H15" s="420"/>
      <c r="I15" s="420"/>
      <c r="J15" s="420"/>
      <c r="K15" s="431">
        <f>+K17+K40+K68</f>
        <v>160240.19100000002</v>
      </c>
      <c r="L15" s="431">
        <f>+L17+L40+L68</f>
        <v>0</v>
      </c>
      <c r="M15" s="420"/>
      <c r="N15" s="431">
        <f>+N17+N40+N68</f>
        <v>0</v>
      </c>
      <c r="O15" s="431">
        <f>+O17+O40+O68</f>
        <v>0</v>
      </c>
      <c r="P15" s="431"/>
      <c r="Q15" s="431">
        <f>+Q17+Q40+Q68</f>
        <v>0</v>
      </c>
    </row>
    <row r="16" spans="1:17" ht="28.5" customHeight="1">
      <c r="A16" s="405"/>
      <c r="B16" s="406">
        <v>61</v>
      </c>
      <c r="C16" s="407"/>
      <c r="D16" s="409" t="s">
        <v>305</v>
      </c>
      <c r="E16" s="410"/>
      <c r="F16" s="154"/>
      <c r="G16" s="80"/>
      <c r="H16" s="80"/>
      <c r="I16" s="80"/>
      <c r="J16" s="80"/>
      <c r="K16" s="80"/>
      <c r="L16" s="80"/>
      <c r="M16" s="80"/>
      <c r="N16" s="58"/>
      <c r="O16" s="80"/>
      <c r="P16" s="80"/>
      <c r="Q16" s="58"/>
    </row>
    <row r="17" spans="1:17" ht="82.5">
      <c r="A17" s="408"/>
      <c r="B17" s="408"/>
      <c r="C17" s="411">
        <v>610</v>
      </c>
      <c r="D17" s="412" t="s">
        <v>301</v>
      </c>
      <c r="E17" s="413">
        <v>5</v>
      </c>
      <c r="F17" s="80"/>
      <c r="G17" s="399">
        <f>+G18+G37</f>
        <v>63</v>
      </c>
      <c r="H17" s="80"/>
      <c r="I17" s="80"/>
      <c r="J17" s="433">
        <v>20</v>
      </c>
      <c r="K17" s="399">
        <f>+K18+K37</f>
        <v>0</v>
      </c>
      <c r="L17" s="399">
        <f>+L18+L37</f>
        <v>0</v>
      </c>
      <c r="M17" s="80"/>
      <c r="N17" s="399">
        <f>+N18+N37</f>
        <v>0</v>
      </c>
      <c r="O17" s="399">
        <f>+O18+O37</f>
        <v>0</v>
      </c>
      <c r="P17" s="80"/>
      <c r="Q17" s="399">
        <f>+Q18+Q37</f>
        <v>0</v>
      </c>
    </row>
    <row r="18" spans="1:17" ht="28.5">
      <c r="A18" s="403"/>
      <c r="B18" s="403"/>
      <c r="C18" s="400">
        <v>1</v>
      </c>
      <c r="D18" s="401" t="s">
        <v>291</v>
      </c>
      <c r="E18" s="422"/>
      <c r="F18" s="402"/>
      <c r="G18" s="404">
        <f>SUM(G19:G36)</f>
        <v>60</v>
      </c>
      <c r="H18" s="403"/>
      <c r="I18" s="403"/>
      <c r="J18" s="403"/>
      <c r="K18" s="404">
        <f>SUM(K19:K36)</f>
        <v>0</v>
      </c>
      <c r="L18" s="404">
        <f>SUM(L19:L36)</f>
        <v>0</v>
      </c>
      <c r="M18" s="404"/>
      <c r="N18" s="404">
        <f>SUM(N19:N36)</f>
        <v>0</v>
      </c>
      <c r="O18" s="404">
        <f>SUM(O19:O36)</f>
        <v>0</v>
      </c>
      <c r="P18" s="404"/>
      <c r="Q18" s="404">
        <f>SUM(Q19:Q36)</f>
        <v>0</v>
      </c>
    </row>
    <row r="19" spans="1:17" ht="27">
      <c r="A19" s="594"/>
      <c r="B19" s="594"/>
      <c r="C19" s="56">
        <v>1</v>
      </c>
      <c r="D19" s="595" t="s">
        <v>687</v>
      </c>
      <c r="E19" s="80"/>
      <c r="F19" s="80" t="s">
        <v>688</v>
      </c>
      <c r="G19" s="80">
        <v>11</v>
      </c>
      <c r="H19" s="80">
        <v>2012</v>
      </c>
      <c r="I19" s="80">
        <f>307.1*G19</f>
        <v>3378.1000000000004</v>
      </c>
      <c r="J19" s="80">
        <f aca="true" t="shared" si="0" ref="J19:J36">IF(($J$14-H19)*J$17&gt;100,100,($J$14-H19)*J$17)</f>
        <v>100</v>
      </c>
      <c r="K19" s="80">
        <f aca="true" t="shared" si="1" ref="K19:K36">IF(J19=100,0,I19-I19*J19%)</f>
        <v>0</v>
      </c>
      <c r="L19" s="80"/>
      <c r="M19" s="80"/>
      <c r="N19" s="58">
        <f aca="true" t="shared" si="2" ref="N19:N36">+L19*M19</f>
        <v>0</v>
      </c>
      <c r="O19" s="80"/>
      <c r="P19" s="80"/>
      <c r="Q19" s="58">
        <f aca="true" t="shared" si="3" ref="Q19:Q36">+O19*P19</f>
        <v>0</v>
      </c>
    </row>
    <row r="20" spans="1:17" ht="13.5">
      <c r="A20" s="594"/>
      <c r="B20" s="594"/>
      <c r="C20" s="56">
        <v>2</v>
      </c>
      <c r="D20" s="595" t="s">
        <v>689</v>
      </c>
      <c r="E20" s="80"/>
      <c r="F20" s="80" t="s">
        <v>688</v>
      </c>
      <c r="G20" s="80">
        <v>7</v>
      </c>
      <c r="H20" s="80">
        <v>2017</v>
      </c>
      <c r="I20" s="80">
        <f>398.8*G20</f>
        <v>2791.6</v>
      </c>
      <c r="J20" s="80">
        <f t="shared" si="0"/>
        <v>100</v>
      </c>
      <c r="K20" s="80">
        <f t="shared" si="1"/>
        <v>0</v>
      </c>
      <c r="L20" s="80"/>
      <c r="M20" s="80"/>
      <c r="N20" s="58">
        <f t="shared" si="2"/>
        <v>0</v>
      </c>
      <c r="O20" s="80"/>
      <c r="P20" s="80"/>
      <c r="Q20" s="58">
        <f t="shared" si="3"/>
        <v>0</v>
      </c>
    </row>
    <row r="21" spans="1:17" ht="13.5">
      <c r="A21" s="594"/>
      <c r="B21" s="594"/>
      <c r="C21" s="56">
        <v>3</v>
      </c>
      <c r="D21" s="595" t="s">
        <v>690</v>
      </c>
      <c r="E21" s="80"/>
      <c r="F21" s="80" t="s">
        <v>688</v>
      </c>
      <c r="G21" s="80">
        <v>2</v>
      </c>
      <c r="H21" s="80">
        <v>2016</v>
      </c>
      <c r="I21" s="81">
        <f>690*G21</f>
        <v>1380</v>
      </c>
      <c r="J21" s="80">
        <f t="shared" si="0"/>
        <v>100</v>
      </c>
      <c r="K21" s="80">
        <f t="shared" si="1"/>
        <v>0</v>
      </c>
      <c r="L21" s="80"/>
      <c r="M21" s="80"/>
      <c r="N21" s="58">
        <f t="shared" si="2"/>
        <v>0</v>
      </c>
      <c r="O21" s="80"/>
      <c r="P21" s="80"/>
      <c r="Q21" s="58">
        <f t="shared" si="3"/>
        <v>0</v>
      </c>
    </row>
    <row r="22" spans="1:17" ht="13.5">
      <c r="A22" s="594"/>
      <c r="B22" s="594"/>
      <c r="C22" s="56">
        <v>4</v>
      </c>
      <c r="D22" s="595" t="s">
        <v>691</v>
      </c>
      <c r="E22" s="80"/>
      <c r="F22" s="80" t="s">
        <v>688</v>
      </c>
      <c r="G22" s="80">
        <v>2</v>
      </c>
      <c r="H22" s="80">
        <v>2016</v>
      </c>
      <c r="I22" s="80">
        <f>417.6*G22</f>
        <v>835.2</v>
      </c>
      <c r="J22" s="80">
        <f t="shared" si="0"/>
        <v>100</v>
      </c>
      <c r="K22" s="80">
        <f t="shared" si="1"/>
        <v>0</v>
      </c>
      <c r="L22" s="80"/>
      <c r="M22" s="80"/>
      <c r="N22" s="58">
        <f t="shared" si="2"/>
        <v>0</v>
      </c>
      <c r="O22" s="80"/>
      <c r="P22" s="80"/>
      <c r="Q22" s="58">
        <f t="shared" si="3"/>
        <v>0</v>
      </c>
    </row>
    <row r="23" spans="1:17" ht="13.5">
      <c r="A23" s="594"/>
      <c r="B23" s="594"/>
      <c r="C23" s="56">
        <v>5</v>
      </c>
      <c r="D23" s="595" t="s">
        <v>692</v>
      </c>
      <c r="E23" s="80"/>
      <c r="F23" s="80" t="s">
        <v>688</v>
      </c>
      <c r="G23" s="80">
        <v>12</v>
      </c>
      <c r="H23" s="80">
        <v>2010</v>
      </c>
      <c r="I23" s="81">
        <f>358.492*G23</f>
        <v>4301.904</v>
      </c>
      <c r="J23" s="80">
        <f t="shared" si="0"/>
        <v>100</v>
      </c>
      <c r="K23" s="80">
        <f t="shared" si="1"/>
        <v>0</v>
      </c>
      <c r="L23" s="80"/>
      <c r="M23" s="80"/>
      <c r="N23" s="58">
        <f t="shared" si="2"/>
        <v>0</v>
      </c>
      <c r="O23" s="80"/>
      <c r="P23" s="80"/>
      <c r="Q23" s="58">
        <f t="shared" si="3"/>
        <v>0</v>
      </c>
    </row>
    <row r="24" spans="1:17" ht="13.5">
      <c r="A24" s="594"/>
      <c r="B24" s="594"/>
      <c r="C24" s="56">
        <v>6</v>
      </c>
      <c r="D24" s="595" t="s">
        <v>693</v>
      </c>
      <c r="E24" s="80"/>
      <c r="F24" s="80" t="s">
        <v>688</v>
      </c>
      <c r="G24" s="80">
        <v>6</v>
      </c>
      <c r="H24" s="80">
        <v>2012</v>
      </c>
      <c r="I24" s="80">
        <f>218.9*G24</f>
        <v>1313.4</v>
      </c>
      <c r="J24" s="80">
        <f t="shared" si="0"/>
        <v>100</v>
      </c>
      <c r="K24" s="80">
        <f t="shared" si="1"/>
        <v>0</v>
      </c>
      <c r="L24" s="80"/>
      <c r="M24" s="80"/>
      <c r="N24" s="58">
        <f t="shared" si="2"/>
        <v>0</v>
      </c>
      <c r="O24" s="80"/>
      <c r="P24" s="80"/>
      <c r="Q24" s="58">
        <f t="shared" si="3"/>
        <v>0</v>
      </c>
    </row>
    <row r="25" spans="1:17" ht="13.5">
      <c r="A25" s="594"/>
      <c r="B25" s="594"/>
      <c r="C25" s="56">
        <v>7</v>
      </c>
      <c r="D25" s="595" t="s">
        <v>694</v>
      </c>
      <c r="E25" s="80"/>
      <c r="F25" s="80" t="s">
        <v>688</v>
      </c>
      <c r="G25" s="80">
        <v>3</v>
      </c>
      <c r="H25" s="80">
        <v>2008</v>
      </c>
      <c r="I25" s="80">
        <v>2052.3</v>
      </c>
      <c r="J25" s="80">
        <f t="shared" si="0"/>
        <v>100</v>
      </c>
      <c r="K25" s="80">
        <f t="shared" si="1"/>
        <v>0</v>
      </c>
      <c r="L25" s="80"/>
      <c r="M25" s="80"/>
      <c r="N25" s="58">
        <f t="shared" si="2"/>
        <v>0</v>
      </c>
      <c r="O25" s="80"/>
      <c r="P25" s="80"/>
      <c r="Q25" s="58">
        <f t="shared" si="3"/>
        <v>0</v>
      </c>
    </row>
    <row r="26" spans="1:17" ht="13.5">
      <c r="A26" s="594"/>
      <c r="B26" s="594"/>
      <c r="C26" s="56">
        <v>8</v>
      </c>
      <c r="D26" s="595" t="s">
        <v>695</v>
      </c>
      <c r="E26" s="80"/>
      <c r="F26" s="80" t="s">
        <v>688</v>
      </c>
      <c r="G26" s="80">
        <v>6</v>
      </c>
      <c r="H26" s="80">
        <v>2008</v>
      </c>
      <c r="I26" s="81">
        <f>843.8*G26</f>
        <v>5062.799999999999</v>
      </c>
      <c r="J26" s="80">
        <f t="shared" si="0"/>
        <v>100</v>
      </c>
      <c r="K26" s="80">
        <f t="shared" si="1"/>
        <v>0</v>
      </c>
      <c r="L26" s="80"/>
      <c r="M26" s="80"/>
      <c r="N26" s="58">
        <f t="shared" si="2"/>
        <v>0</v>
      </c>
      <c r="O26" s="80"/>
      <c r="P26" s="80"/>
      <c r="Q26" s="58">
        <f t="shared" si="3"/>
        <v>0</v>
      </c>
    </row>
    <row r="27" spans="1:17" ht="13.5">
      <c r="A27" s="594"/>
      <c r="B27" s="594"/>
      <c r="C27" s="56">
        <v>9</v>
      </c>
      <c r="D27" s="595" t="s">
        <v>695</v>
      </c>
      <c r="E27" s="80"/>
      <c r="F27" s="80" t="s">
        <v>688</v>
      </c>
      <c r="G27" s="80">
        <v>1</v>
      </c>
      <c r="H27" s="80">
        <v>2008</v>
      </c>
      <c r="I27" s="80">
        <v>695.2</v>
      </c>
      <c r="J27" s="80">
        <f t="shared" si="0"/>
        <v>100</v>
      </c>
      <c r="K27" s="80">
        <f t="shared" si="1"/>
        <v>0</v>
      </c>
      <c r="L27" s="80"/>
      <c r="M27" s="80"/>
      <c r="N27" s="58">
        <f t="shared" si="2"/>
        <v>0</v>
      </c>
      <c r="O27" s="80"/>
      <c r="P27" s="80"/>
      <c r="Q27" s="58">
        <f t="shared" si="3"/>
        <v>0</v>
      </c>
    </row>
    <row r="28" spans="1:17" ht="13.5">
      <c r="A28" s="594"/>
      <c r="B28" s="594"/>
      <c r="C28" s="56">
        <v>10</v>
      </c>
      <c r="D28" s="595" t="s">
        <v>695</v>
      </c>
      <c r="E28" s="80"/>
      <c r="F28" s="80" t="s">
        <v>688</v>
      </c>
      <c r="G28" s="80">
        <v>1</v>
      </c>
      <c r="H28" s="80">
        <v>2008</v>
      </c>
      <c r="I28" s="80">
        <v>678.5</v>
      </c>
      <c r="J28" s="80">
        <f t="shared" si="0"/>
        <v>100</v>
      </c>
      <c r="K28" s="80">
        <f t="shared" si="1"/>
        <v>0</v>
      </c>
      <c r="L28" s="80"/>
      <c r="M28" s="80"/>
      <c r="N28" s="58">
        <f t="shared" si="2"/>
        <v>0</v>
      </c>
      <c r="O28" s="80"/>
      <c r="P28" s="80"/>
      <c r="Q28" s="58">
        <f t="shared" si="3"/>
        <v>0</v>
      </c>
    </row>
    <row r="29" spans="1:17" ht="13.5">
      <c r="A29" s="594"/>
      <c r="B29" s="594"/>
      <c r="C29" s="56">
        <v>11</v>
      </c>
      <c r="D29" s="595" t="s">
        <v>696</v>
      </c>
      <c r="E29" s="80"/>
      <c r="F29" s="80" t="s">
        <v>688</v>
      </c>
      <c r="G29" s="80">
        <v>1</v>
      </c>
      <c r="H29" s="80">
        <v>2009</v>
      </c>
      <c r="I29" s="81">
        <v>809.97</v>
      </c>
      <c r="J29" s="80">
        <f t="shared" si="0"/>
        <v>100</v>
      </c>
      <c r="K29" s="80">
        <f t="shared" si="1"/>
        <v>0</v>
      </c>
      <c r="L29" s="80"/>
      <c r="M29" s="80"/>
      <c r="N29" s="58">
        <f t="shared" si="2"/>
        <v>0</v>
      </c>
      <c r="O29" s="80"/>
      <c r="P29" s="80"/>
      <c r="Q29" s="58">
        <f t="shared" si="3"/>
        <v>0</v>
      </c>
    </row>
    <row r="30" spans="1:17" ht="13.5">
      <c r="A30" s="594"/>
      <c r="B30" s="594"/>
      <c r="C30" s="56">
        <v>12</v>
      </c>
      <c r="D30" s="595" t="s">
        <v>697</v>
      </c>
      <c r="E30" s="80"/>
      <c r="F30" s="80" t="s">
        <v>688</v>
      </c>
      <c r="G30" s="80">
        <v>1</v>
      </c>
      <c r="H30" s="80">
        <v>2016</v>
      </c>
      <c r="I30" s="80">
        <v>1572.3</v>
      </c>
      <c r="J30" s="80">
        <f t="shared" si="0"/>
        <v>100</v>
      </c>
      <c r="K30" s="80">
        <f t="shared" si="1"/>
        <v>0</v>
      </c>
      <c r="L30" s="80"/>
      <c r="M30" s="80"/>
      <c r="N30" s="58">
        <f t="shared" si="2"/>
        <v>0</v>
      </c>
      <c r="O30" s="80"/>
      <c r="P30" s="80"/>
      <c r="Q30" s="58">
        <f t="shared" si="3"/>
        <v>0</v>
      </c>
    </row>
    <row r="31" spans="1:17" ht="13.5">
      <c r="A31" s="594"/>
      <c r="B31" s="594"/>
      <c r="C31" s="56">
        <v>13</v>
      </c>
      <c r="D31" s="595" t="s">
        <v>691</v>
      </c>
      <c r="E31" s="80"/>
      <c r="F31" s="80" t="s">
        <v>688</v>
      </c>
      <c r="G31" s="80">
        <v>2</v>
      </c>
      <c r="H31" s="80">
        <v>2016</v>
      </c>
      <c r="I31" s="80">
        <f>417.6*2</f>
        <v>835.2</v>
      </c>
      <c r="J31" s="80">
        <f t="shared" si="0"/>
        <v>100</v>
      </c>
      <c r="K31" s="80">
        <f t="shared" si="1"/>
        <v>0</v>
      </c>
      <c r="L31" s="80"/>
      <c r="M31" s="80"/>
      <c r="N31" s="58">
        <f t="shared" si="2"/>
        <v>0</v>
      </c>
      <c r="O31" s="80"/>
      <c r="P31" s="80"/>
      <c r="Q31" s="58">
        <f t="shared" si="3"/>
        <v>0</v>
      </c>
    </row>
    <row r="32" spans="1:17" ht="27">
      <c r="A32" s="594"/>
      <c r="B32" s="594"/>
      <c r="C32" s="56">
        <v>14</v>
      </c>
      <c r="D32" s="595" t="s">
        <v>698</v>
      </c>
      <c r="E32" s="80"/>
      <c r="F32" s="80" t="s">
        <v>688</v>
      </c>
      <c r="G32" s="80">
        <v>1</v>
      </c>
      <c r="H32" s="80">
        <v>2011</v>
      </c>
      <c r="I32" s="80">
        <v>834</v>
      </c>
      <c r="J32" s="80">
        <f>IF(($J$14-H32)*J$17&gt;100,100,($J$14-H32)*J$17)</f>
        <v>100</v>
      </c>
      <c r="K32" s="80">
        <f t="shared" si="1"/>
        <v>0</v>
      </c>
      <c r="L32" s="80"/>
      <c r="M32" s="80"/>
      <c r="N32" s="58">
        <f t="shared" si="2"/>
        <v>0</v>
      </c>
      <c r="O32" s="80"/>
      <c r="P32" s="80"/>
      <c r="Q32" s="58">
        <f t="shared" si="3"/>
        <v>0</v>
      </c>
    </row>
    <row r="33" spans="1:17" ht="13.5">
      <c r="A33" s="594"/>
      <c r="B33" s="594"/>
      <c r="C33" s="56">
        <v>15</v>
      </c>
      <c r="D33" s="595" t="s">
        <v>699</v>
      </c>
      <c r="E33" s="80"/>
      <c r="F33" s="80" t="s">
        <v>688</v>
      </c>
      <c r="G33" s="80">
        <v>1</v>
      </c>
      <c r="H33" s="80">
        <v>2013</v>
      </c>
      <c r="I33" s="80">
        <v>338</v>
      </c>
      <c r="J33" s="80">
        <f t="shared" si="0"/>
        <v>100</v>
      </c>
      <c r="K33" s="80">
        <f t="shared" si="1"/>
        <v>0</v>
      </c>
      <c r="L33" s="80"/>
      <c r="M33" s="80"/>
      <c r="N33" s="58">
        <f t="shared" si="2"/>
        <v>0</v>
      </c>
      <c r="O33" s="80"/>
      <c r="P33" s="80"/>
      <c r="Q33" s="58">
        <f t="shared" si="3"/>
        <v>0</v>
      </c>
    </row>
    <row r="34" spans="1:17" ht="13.5">
      <c r="A34" s="594"/>
      <c r="B34" s="594"/>
      <c r="C34" s="56">
        <v>16</v>
      </c>
      <c r="D34" s="595" t="s">
        <v>700</v>
      </c>
      <c r="E34" s="80"/>
      <c r="F34" s="80" t="s">
        <v>688</v>
      </c>
      <c r="G34" s="80">
        <v>1</v>
      </c>
      <c r="H34" s="80">
        <v>2012</v>
      </c>
      <c r="I34" s="596">
        <v>1114.84</v>
      </c>
      <c r="J34" s="80">
        <f t="shared" si="0"/>
        <v>100</v>
      </c>
      <c r="K34" s="80">
        <f t="shared" si="1"/>
        <v>0</v>
      </c>
      <c r="L34" s="80"/>
      <c r="M34" s="80"/>
      <c r="N34" s="58">
        <f t="shared" si="2"/>
        <v>0</v>
      </c>
      <c r="O34" s="80"/>
      <c r="P34" s="80"/>
      <c r="Q34" s="58">
        <f t="shared" si="3"/>
        <v>0</v>
      </c>
    </row>
    <row r="35" spans="1:17" ht="13.5">
      <c r="A35" s="594"/>
      <c r="B35" s="594"/>
      <c r="C35" s="56">
        <v>17</v>
      </c>
      <c r="D35" s="595" t="s">
        <v>701</v>
      </c>
      <c r="E35" s="80"/>
      <c r="F35" s="80" t="s">
        <v>688</v>
      </c>
      <c r="G35" s="80">
        <v>1</v>
      </c>
      <c r="H35" s="80">
        <v>2012</v>
      </c>
      <c r="I35" s="597">
        <v>1435.6</v>
      </c>
      <c r="J35" s="80">
        <f t="shared" si="0"/>
        <v>100</v>
      </c>
      <c r="K35" s="80">
        <f t="shared" si="1"/>
        <v>0</v>
      </c>
      <c r="L35" s="80"/>
      <c r="M35" s="80"/>
      <c r="N35" s="58">
        <f t="shared" si="2"/>
        <v>0</v>
      </c>
      <c r="O35" s="80"/>
      <c r="P35" s="80"/>
      <c r="Q35" s="58">
        <f t="shared" si="3"/>
        <v>0</v>
      </c>
    </row>
    <row r="36" spans="1:17" ht="13.5">
      <c r="A36" s="594"/>
      <c r="B36" s="594"/>
      <c r="C36" s="56">
        <v>18</v>
      </c>
      <c r="D36" s="595" t="s">
        <v>702</v>
      </c>
      <c r="E36" s="80"/>
      <c r="F36" s="80" t="s">
        <v>688</v>
      </c>
      <c r="G36" s="80">
        <v>1</v>
      </c>
      <c r="H36" s="80">
        <v>2008</v>
      </c>
      <c r="I36" s="596">
        <v>2252.504</v>
      </c>
      <c r="J36" s="80">
        <f t="shared" si="0"/>
        <v>100</v>
      </c>
      <c r="K36" s="80">
        <f t="shared" si="1"/>
        <v>0</v>
      </c>
      <c r="L36" s="80"/>
      <c r="M36" s="80"/>
      <c r="N36" s="58">
        <f t="shared" si="2"/>
        <v>0</v>
      </c>
      <c r="O36" s="80"/>
      <c r="P36" s="80"/>
      <c r="Q36" s="58">
        <f t="shared" si="3"/>
        <v>0</v>
      </c>
    </row>
    <row r="37" spans="1:17" ht="57">
      <c r="A37" s="139"/>
      <c r="B37" s="618"/>
      <c r="C37" s="400">
        <v>2</v>
      </c>
      <c r="D37" s="401" t="s">
        <v>290</v>
      </c>
      <c r="E37" s="422"/>
      <c r="F37" s="402"/>
      <c r="G37" s="404">
        <f>SUM(G38:G39)</f>
        <v>3</v>
      </c>
      <c r="H37" s="403"/>
      <c r="I37" s="403"/>
      <c r="J37" s="403"/>
      <c r="K37" s="404">
        <f>SUM(K38:K39)</f>
        <v>0</v>
      </c>
      <c r="L37" s="404">
        <f>SUM(L38:L39)</f>
        <v>0</v>
      </c>
      <c r="M37" s="403"/>
      <c r="N37" s="404">
        <f>SUM(N38:N39)</f>
        <v>0</v>
      </c>
      <c r="O37" s="404">
        <f>SUM(O38:O39)</f>
        <v>0</v>
      </c>
      <c r="P37" s="403"/>
      <c r="Q37" s="404">
        <f>SUM(Q38:Q39)</f>
        <v>0</v>
      </c>
    </row>
    <row r="38" spans="1:17" ht="13.5">
      <c r="A38" s="619"/>
      <c r="B38" s="620"/>
      <c r="C38" s="56">
        <v>1</v>
      </c>
      <c r="D38" s="595" t="s">
        <v>703</v>
      </c>
      <c r="E38" s="80"/>
      <c r="F38" s="80" t="s">
        <v>704</v>
      </c>
      <c r="G38" s="80">
        <v>1</v>
      </c>
      <c r="H38" s="80">
        <v>2013</v>
      </c>
      <c r="I38" s="81">
        <v>1313</v>
      </c>
      <c r="J38" s="80">
        <f>IF(($J$14-H38)*J$17&gt;100,100,($J$14-H38)*J$17)</f>
        <v>100</v>
      </c>
      <c r="K38" s="80">
        <f>IF(J38=100,0,I38-I38*J38%)</f>
        <v>0</v>
      </c>
      <c r="L38" s="80"/>
      <c r="M38" s="80"/>
      <c r="N38" s="58">
        <f>+L38*M38</f>
        <v>0</v>
      </c>
      <c r="O38" s="80"/>
      <c r="P38" s="80"/>
      <c r="Q38" s="58">
        <f>+O38*P38</f>
        <v>0</v>
      </c>
    </row>
    <row r="39" spans="3:17" ht="30" customHeight="1">
      <c r="C39" s="56">
        <v>2</v>
      </c>
      <c r="D39" s="598" t="s">
        <v>705</v>
      </c>
      <c r="E39" s="80"/>
      <c r="F39" s="80" t="s">
        <v>704</v>
      </c>
      <c r="G39" s="80">
        <v>2</v>
      </c>
      <c r="H39" s="80">
        <v>2012</v>
      </c>
      <c r="I39" s="81">
        <f>265.7*G39</f>
        <v>531.4</v>
      </c>
      <c r="J39" s="80">
        <f>IF(($J$14-H39)*J$17&gt;100,100,($J$14-H39)*J$17)</f>
        <v>100</v>
      </c>
      <c r="K39" s="80">
        <f>IF(J39=100,0,I39-I39*J39%)</f>
        <v>0</v>
      </c>
      <c r="L39" s="80"/>
      <c r="M39" s="80"/>
      <c r="N39" s="58">
        <f>+L39*M39</f>
        <v>0</v>
      </c>
      <c r="O39" s="80"/>
      <c r="P39" s="80"/>
      <c r="Q39" s="58">
        <f>+O39*P39</f>
        <v>0</v>
      </c>
    </row>
    <row r="40" spans="2:17" ht="165">
      <c r="B40" s="408"/>
      <c r="C40" s="411">
        <v>611</v>
      </c>
      <c r="D40" s="412" t="s">
        <v>302</v>
      </c>
      <c r="E40" s="413">
        <v>7</v>
      </c>
      <c r="F40" s="80"/>
      <c r="G40" s="399">
        <f>+G41+G52+G66</f>
        <v>57</v>
      </c>
      <c r="H40" s="80"/>
      <c r="I40" s="80"/>
      <c r="J40" s="433">
        <v>14.3</v>
      </c>
      <c r="K40" s="80">
        <f>IF(J40=100,0,I40-I40*J40%)</f>
        <v>0</v>
      </c>
      <c r="L40" s="399">
        <f>+L41+L52+L66</f>
        <v>0</v>
      </c>
      <c r="M40" s="80"/>
      <c r="N40" s="399">
        <f>+N41+N52+N66</f>
        <v>0</v>
      </c>
      <c r="O40" s="399"/>
      <c r="P40" s="80"/>
      <c r="Q40" s="399">
        <f>+Q41+Q52+Q66</f>
        <v>0</v>
      </c>
    </row>
    <row r="41" spans="1:17" ht="16.5">
      <c r="A41" s="408"/>
      <c r="B41" s="403"/>
      <c r="C41" s="400">
        <v>1</v>
      </c>
      <c r="D41" s="401" t="s">
        <v>292</v>
      </c>
      <c r="E41" s="401"/>
      <c r="F41" s="402"/>
      <c r="G41" s="404">
        <f>SUM(G42:G51)</f>
        <v>38</v>
      </c>
      <c r="H41" s="403"/>
      <c r="I41" s="403"/>
      <c r="J41" s="403"/>
      <c r="K41" s="404">
        <f>SUM(K42:K51)</f>
        <v>258.18240000000003</v>
      </c>
      <c r="L41" s="404">
        <f>SUM(L42:L51)</f>
        <v>0</v>
      </c>
      <c r="M41" s="403"/>
      <c r="N41" s="404">
        <f>SUM(N42:N51)</f>
        <v>0</v>
      </c>
      <c r="O41" s="404">
        <f>SUM(O42:O51)</f>
        <v>0</v>
      </c>
      <c r="P41" s="403"/>
      <c r="Q41" s="404">
        <f>SUM(Q42:Q51)</f>
        <v>0</v>
      </c>
    </row>
    <row r="42" spans="1:17" ht="13.5">
      <c r="A42" s="403"/>
      <c r="C42" s="56">
        <v>1</v>
      </c>
      <c r="D42" s="595" t="s">
        <v>706</v>
      </c>
      <c r="E42" s="80"/>
      <c r="F42" s="80" t="s">
        <v>704</v>
      </c>
      <c r="G42" s="80">
        <v>10</v>
      </c>
      <c r="H42" s="80">
        <v>2012</v>
      </c>
      <c r="I42" s="80">
        <v>132.2</v>
      </c>
      <c r="J42" s="80">
        <f aca="true" t="shared" si="4" ref="J42:J51">IF(($J$14-H42)*J$40&gt;100,100,($J$14-H42)*J$40)</f>
        <v>100</v>
      </c>
      <c r="K42" s="80">
        <f>IF(J42=100,0,I42-I42*J42%)</f>
        <v>0</v>
      </c>
      <c r="L42" s="80"/>
      <c r="M42" s="80"/>
      <c r="N42" s="58">
        <f>+L42*M42</f>
        <v>0</v>
      </c>
      <c r="O42" s="80"/>
      <c r="P42" s="80"/>
      <c r="Q42" s="58">
        <f>+O42*P42</f>
        <v>0</v>
      </c>
    </row>
    <row r="43" spans="3:17" ht="32.25" customHeight="1">
      <c r="C43" s="56">
        <v>2</v>
      </c>
      <c r="D43" s="595" t="s">
        <v>707</v>
      </c>
      <c r="E43" s="80"/>
      <c r="F43" s="80" t="s">
        <v>704</v>
      </c>
      <c r="G43" s="80">
        <v>6</v>
      </c>
      <c r="H43" s="80">
        <v>2016</v>
      </c>
      <c r="I43" s="80">
        <f>135.6*G43</f>
        <v>813.5999999999999</v>
      </c>
      <c r="J43" s="80">
        <f t="shared" si="4"/>
        <v>100</v>
      </c>
      <c r="K43" s="80">
        <f>IF(J43=100,0,I43-I43*J43%)</f>
        <v>0</v>
      </c>
      <c r="L43" s="80"/>
      <c r="M43" s="80"/>
      <c r="N43" s="58">
        <f>+L43*M43</f>
        <v>0</v>
      </c>
      <c r="O43" s="80"/>
      <c r="P43" s="80"/>
      <c r="Q43" s="58">
        <f>+O43*P43</f>
        <v>0</v>
      </c>
    </row>
    <row r="44" spans="3:17" ht="13.5">
      <c r="C44" s="56">
        <v>3</v>
      </c>
      <c r="D44" s="595" t="s">
        <v>708</v>
      </c>
      <c r="E44" s="80"/>
      <c r="F44" s="80" t="s">
        <v>704</v>
      </c>
      <c r="G44" s="80">
        <v>7</v>
      </c>
      <c r="H44" s="80">
        <v>2017</v>
      </c>
      <c r="I44" s="80">
        <f>78.1*G44</f>
        <v>546.6999999999999</v>
      </c>
      <c r="J44" s="80">
        <f t="shared" si="4"/>
        <v>100</v>
      </c>
      <c r="K44" s="80">
        <f aca="true" t="shared" si="5" ref="K44:K51">IF(J44=100,0,I44-I44*J44%)</f>
        <v>0</v>
      </c>
      <c r="L44" s="80"/>
      <c r="M44" s="80"/>
      <c r="N44" s="58">
        <f aca="true" t="shared" si="6" ref="N44:N51">+L44*M44</f>
        <v>0</v>
      </c>
      <c r="O44" s="80"/>
      <c r="P44" s="80"/>
      <c r="Q44" s="58">
        <f aca="true" t="shared" si="7" ref="Q44:Q51">+O44*P44</f>
        <v>0</v>
      </c>
    </row>
    <row r="45" spans="3:17" ht="13.5">
      <c r="C45" s="56">
        <v>4</v>
      </c>
      <c r="D45" s="595" t="s">
        <v>709</v>
      </c>
      <c r="E45" s="80"/>
      <c r="F45" s="80" t="s">
        <v>704</v>
      </c>
      <c r="G45" s="80">
        <v>1</v>
      </c>
      <c r="H45" s="80">
        <v>2012</v>
      </c>
      <c r="I45" s="80">
        <v>108.3</v>
      </c>
      <c r="J45" s="80">
        <f t="shared" si="4"/>
        <v>100</v>
      </c>
      <c r="K45" s="80">
        <f t="shared" si="5"/>
        <v>0</v>
      </c>
      <c r="L45" s="80"/>
      <c r="M45" s="80"/>
      <c r="N45" s="58">
        <f t="shared" si="6"/>
        <v>0</v>
      </c>
      <c r="O45" s="80"/>
      <c r="P45" s="80"/>
      <c r="Q45" s="58">
        <f t="shared" si="7"/>
        <v>0</v>
      </c>
    </row>
    <row r="46" spans="3:17" ht="13.5">
      <c r="C46" s="56">
        <v>5</v>
      </c>
      <c r="D46" s="595" t="s">
        <v>710</v>
      </c>
      <c r="E46" s="80"/>
      <c r="F46" s="80" t="s">
        <v>704</v>
      </c>
      <c r="G46" s="80">
        <v>5</v>
      </c>
      <c r="H46" s="80">
        <v>2016</v>
      </c>
      <c r="I46" s="80">
        <f>376.9*G46</f>
        <v>1884.5</v>
      </c>
      <c r="J46" s="80">
        <f t="shared" si="4"/>
        <v>100</v>
      </c>
      <c r="K46" s="80">
        <f t="shared" si="5"/>
        <v>0</v>
      </c>
      <c r="L46" s="80"/>
      <c r="M46" s="80"/>
      <c r="N46" s="58">
        <f t="shared" si="6"/>
        <v>0</v>
      </c>
      <c r="O46" s="80"/>
      <c r="P46" s="80"/>
      <c r="Q46" s="58">
        <f t="shared" si="7"/>
        <v>0</v>
      </c>
    </row>
    <row r="47" spans="3:17" ht="13.5">
      <c r="C47" s="56">
        <v>6</v>
      </c>
      <c r="D47" s="595" t="s">
        <v>711</v>
      </c>
      <c r="E47" s="80"/>
      <c r="F47" s="80" t="s">
        <v>704</v>
      </c>
      <c r="G47" s="80">
        <v>1</v>
      </c>
      <c r="H47" s="80">
        <v>2012</v>
      </c>
      <c r="I47" s="80">
        <v>383.6</v>
      </c>
      <c r="J47" s="80">
        <f t="shared" si="4"/>
        <v>100</v>
      </c>
      <c r="K47" s="80">
        <f t="shared" si="5"/>
        <v>0</v>
      </c>
      <c r="L47" s="80"/>
      <c r="M47" s="80"/>
      <c r="N47" s="58">
        <f t="shared" si="6"/>
        <v>0</v>
      </c>
      <c r="O47" s="80"/>
      <c r="P47" s="80"/>
      <c r="Q47" s="58">
        <f t="shared" si="7"/>
        <v>0</v>
      </c>
    </row>
    <row r="48" spans="3:17" ht="13.5">
      <c r="C48" s="56">
        <v>7</v>
      </c>
      <c r="D48" s="595" t="s">
        <v>712</v>
      </c>
      <c r="E48" s="80"/>
      <c r="F48" s="80" t="s">
        <v>704</v>
      </c>
      <c r="G48" s="80">
        <v>1</v>
      </c>
      <c r="H48" s="80">
        <v>2016</v>
      </c>
      <c r="I48" s="80">
        <v>593.6</v>
      </c>
      <c r="J48" s="80">
        <f t="shared" si="4"/>
        <v>100</v>
      </c>
      <c r="K48" s="80">
        <f t="shared" si="5"/>
        <v>0</v>
      </c>
      <c r="L48" s="80"/>
      <c r="M48" s="80"/>
      <c r="N48" s="58">
        <f t="shared" si="6"/>
        <v>0</v>
      </c>
      <c r="O48" s="80"/>
      <c r="P48" s="80"/>
      <c r="Q48" s="58">
        <f t="shared" si="7"/>
        <v>0</v>
      </c>
    </row>
    <row r="49" spans="3:17" ht="13.5">
      <c r="C49" s="56">
        <v>8</v>
      </c>
      <c r="D49" s="595" t="s">
        <v>713</v>
      </c>
      <c r="E49" s="80"/>
      <c r="F49" s="80" t="s">
        <v>704</v>
      </c>
      <c r="G49" s="80">
        <v>4</v>
      </c>
      <c r="H49" s="80">
        <v>2016</v>
      </c>
      <c r="I49" s="80">
        <f>17.4*G49</f>
        <v>69.6</v>
      </c>
      <c r="J49" s="80">
        <f t="shared" si="4"/>
        <v>100</v>
      </c>
      <c r="K49" s="80">
        <f t="shared" si="5"/>
        <v>0</v>
      </c>
      <c r="L49" s="80"/>
      <c r="M49" s="80"/>
      <c r="N49" s="58">
        <f t="shared" si="6"/>
        <v>0</v>
      </c>
      <c r="O49" s="80"/>
      <c r="P49" s="80"/>
      <c r="Q49" s="58">
        <f t="shared" si="7"/>
        <v>0</v>
      </c>
    </row>
    <row r="50" spans="3:17" ht="13.5">
      <c r="C50" s="56">
        <v>9</v>
      </c>
      <c r="D50" s="595" t="s">
        <v>714</v>
      </c>
      <c r="E50" s="80"/>
      <c r="F50" s="80" t="s">
        <v>704</v>
      </c>
      <c r="G50" s="80">
        <v>1</v>
      </c>
      <c r="H50" s="80">
        <v>2016</v>
      </c>
      <c r="I50" s="80">
        <v>1913.4</v>
      </c>
      <c r="J50" s="80">
        <f t="shared" si="4"/>
        <v>100</v>
      </c>
      <c r="K50" s="80">
        <f t="shared" si="5"/>
        <v>0</v>
      </c>
      <c r="L50" s="80"/>
      <c r="M50" s="80"/>
      <c r="N50" s="58">
        <f t="shared" si="6"/>
        <v>0</v>
      </c>
      <c r="O50" s="80"/>
      <c r="P50" s="80"/>
      <c r="Q50" s="58">
        <f t="shared" si="7"/>
        <v>0</v>
      </c>
    </row>
    <row r="51" spans="3:17" ht="13.5">
      <c r="C51" s="102">
        <f>C50+1</f>
        <v>10</v>
      </c>
      <c r="D51" s="599" t="s">
        <v>715</v>
      </c>
      <c r="E51" s="80"/>
      <c r="F51" s="80" t="s">
        <v>704</v>
      </c>
      <c r="G51" s="80">
        <v>2</v>
      </c>
      <c r="H51" s="80">
        <v>2022</v>
      </c>
      <c r="I51" s="80">
        <v>361.6</v>
      </c>
      <c r="J51" s="80">
        <f t="shared" si="4"/>
        <v>28.6</v>
      </c>
      <c r="K51" s="80">
        <f t="shared" si="5"/>
        <v>258.18240000000003</v>
      </c>
      <c r="L51" s="80"/>
      <c r="M51" s="80"/>
      <c r="N51" s="58">
        <f t="shared" si="6"/>
        <v>0</v>
      </c>
      <c r="O51" s="80"/>
      <c r="P51" s="80"/>
      <c r="Q51" s="58">
        <f t="shared" si="7"/>
        <v>0</v>
      </c>
    </row>
    <row r="52" spans="2:17" ht="42.75">
      <c r="B52" s="403"/>
      <c r="C52" s="400">
        <v>2</v>
      </c>
      <c r="D52" s="401" t="s">
        <v>293</v>
      </c>
      <c r="E52" s="401"/>
      <c r="F52" s="402"/>
      <c r="G52" s="404">
        <f>SUM(G53:G65)</f>
        <v>17</v>
      </c>
      <c r="H52" s="403"/>
      <c r="I52" s="403"/>
      <c r="J52" s="403"/>
      <c r="K52" s="404">
        <f>SUM(K53:K65)</f>
        <v>0</v>
      </c>
      <c r="L52" s="404">
        <f>SUM(L53:L65)</f>
        <v>0</v>
      </c>
      <c r="M52" s="403"/>
      <c r="N52" s="404">
        <f>SUM(N53:N65)</f>
        <v>0</v>
      </c>
      <c r="O52" s="404">
        <f>SUM(O53:O65)</f>
        <v>0</v>
      </c>
      <c r="P52" s="403"/>
      <c r="Q52" s="404">
        <f>SUM(Q53:Q65)</f>
        <v>0</v>
      </c>
    </row>
    <row r="53" spans="1:17" ht="13.5">
      <c r="A53" s="403"/>
      <c r="C53" s="56">
        <v>1</v>
      </c>
      <c r="D53" s="595" t="s">
        <v>716</v>
      </c>
      <c r="E53" s="80"/>
      <c r="F53" s="80" t="s">
        <v>704</v>
      </c>
      <c r="G53" s="80">
        <v>1</v>
      </c>
      <c r="H53" s="80">
        <v>2016</v>
      </c>
      <c r="I53" s="80">
        <v>63.6</v>
      </c>
      <c r="J53" s="80">
        <f aca="true" t="shared" si="8" ref="J53:J65">IF(($J$14-H53)*J$40&gt;100,100,($J$14-H53)*J$40)</f>
        <v>100</v>
      </c>
      <c r="K53" s="80">
        <f>IF(J53=100,0,I53-I53*J53%)</f>
        <v>0</v>
      </c>
      <c r="L53" s="80"/>
      <c r="M53" s="80"/>
      <c r="N53" s="58">
        <f>+L53*M53</f>
        <v>0</v>
      </c>
      <c r="O53" s="80"/>
      <c r="P53" s="80"/>
      <c r="Q53" s="58">
        <f>+O53*P53</f>
        <v>0</v>
      </c>
    </row>
    <row r="54" spans="1:17" ht="14.25">
      <c r="A54" s="571"/>
      <c r="C54" s="56">
        <v>2</v>
      </c>
      <c r="D54" s="595" t="s">
        <v>717</v>
      </c>
      <c r="E54" s="83"/>
      <c r="F54" s="80" t="s">
        <v>704</v>
      </c>
      <c r="G54" s="80">
        <v>2</v>
      </c>
      <c r="H54" s="80">
        <v>2012</v>
      </c>
      <c r="I54" s="80">
        <f>48.7*G54</f>
        <v>97.4</v>
      </c>
      <c r="J54" s="80">
        <f t="shared" si="8"/>
        <v>100</v>
      </c>
      <c r="K54" s="80">
        <f aca="true" t="shared" si="9" ref="K54:K65">IF(J54=100,0,I54-I54*J54%)</f>
        <v>0</v>
      </c>
      <c r="L54" s="80"/>
      <c r="M54" s="80"/>
      <c r="N54" s="58">
        <f aca="true" t="shared" si="10" ref="N54:N65">+L54*M54</f>
        <v>0</v>
      </c>
      <c r="O54" s="80"/>
      <c r="P54" s="80"/>
      <c r="Q54" s="58">
        <f aca="true" t="shared" si="11" ref="Q54:Q65">+O54*P54</f>
        <v>0</v>
      </c>
    </row>
    <row r="55" spans="1:17" ht="14.25">
      <c r="A55" s="571"/>
      <c r="C55" s="56">
        <v>3</v>
      </c>
      <c r="D55" s="595" t="s">
        <v>718</v>
      </c>
      <c r="E55" s="83"/>
      <c r="F55" s="80" t="s">
        <v>704</v>
      </c>
      <c r="G55" s="80">
        <v>2</v>
      </c>
      <c r="H55" s="80">
        <v>2012</v>
      </c>
      <c r="I55" s="80">
        <f>75.9*G55</f>
        <v>151.8</v>
      </c>
      <c r="J55" s="80">
        <f t="shared" si="8"/>
        <v>100</v>
      </c>
      <c r="K55" s="80">
        <f t="shared" si="9"/>
        <v>0</v>
      </c>
      <c r="L55" s="80"/>
      <c r="M55" s="80"/>
      <c r="N55" s="58">
        <f t="shared" si="10"/>
        <v>0</v>
      </c>
      <c r="O55" s="80"/>
      <c r="P55" s="80"/>
      <c r="Q55" s="58">
        <f t="shared" si="11"/>
        <v>0</v>
      </c>
    </row>
    <row r="56" spans="1:17" ht="29.25" customHeight="1">
      <c r="A56" s="571"/>
      <c r="C56" s="56">
        <v>4</v>
      </c>
      <c r="D56" s="595" t="s">
        <v>719</v>
      </c>
      <c r="E56" s="83"/>
      <c r="F56" s="80" t="s">
        <v>704</v>
      </c>
      <c r="G56" s="80">
        <v>1</v>
      </c>
      <c r="H56" s="80">
        <v>2013</v>
      </c>
      <c r="I56" s="81">
        <v>145.98</v>
      </c>
      <c r="J56" s="80">
        <f t="shared" si="8"/>
        <v>100</v>
      </c>
      <c r="K56" s="80">
        <f t="shared" si="9"/>
        <v>0</v>
      </c>
      <c r="L56" s="80"/>
      <c r="M56" s="80"/>
      <c r="N56" s="58">
        <f t="shared" si="10"/>
        <v>0</v>
      </c>
      <c r="O56" s="80"/>
      <c r="P56" s="80"/>
      <c r="Q56" s="58">
        <f t="shared" si="11"/>
        <v>0</v>
      </c>
    </row>
    <row r="57" spans="1:17" ht="14.25">
      <c r="A57" s="571"/>
      <c r="C57" s="56">
        <v>5</v>
      </c>
      <c r="D57" s="595" t="s">
        <v>720</v>
      </c>
      <c r="E57" s="83"/>
      <c r="F57" s="80" t="s">
        <v>704</v>
      </c>
      <c r="G57" s="80">
        <v>1</v>
      </c>
      <c r="H57" s="80">
        <v>2012</v>
      </c>
      <c r="I57" s="80">
        <v>148.1</v>
      </c>
      <c r="J57" s="80">
        <f t="shared" si="8"/>
        <v>100</v>
      </c>
      <c r="K57" s="80">
        <f t="shared" si="9"/>
        <v>0</v>
      </c>
      <c r="L57" s="80"/>
      <c r="M57" s="80"/>
      <c r="N57" s="58">
        <f t="shared" si="10"/>
        <v>0</v>
      </c>
      <c r="O57" s="80"/>
      <c r="P57" s="80"/>
      <c r="Q57" s="58">
        <f t="shared" si="11"/>
        <v>0</v>
      </c>
    </row>
    <row r="58" spans="1:17" ht="14.25">
      <c r="A58" s="571"/>
      <c r="C58" s="56">
        <v>6</v>
      </c>
      <c r="D58" s="595" t="s">
        <v>721</v>
      </c>
      <c r="E58" s="83"/>
      <c r="F58" s="80" t="s">
        <v>704</v>
      </c>
      <c r="G58" s="80">
        <v>1</v>
      </c>
      <c r="H58" s="80">
        <v>2009</v>
      </c>
      <c r="I58" s="81">
        <v>328.97</v>
      </c>
      <c r="J58" s="80">
        <f t="shared" si="8"/>
        <v>100</v>
      </c>
      <c r="K58" s="80">
        <f t="shared" si="9"/>
        <v>0</v>
      </c>
      <c r="L58" s="80"/>
      <c r="M58" s="80"/>
      <c r="N58" s="58">
        <f t="shared" si="10"/>
        <v>0</v>
      </c>
      <c r="O58" s="80"/>
      <c r="P58" s="80"/>
      <c r="Q58" s="58">
        <f t="shared" si="11"/>
        <v>0</v>
      </c>
    </row>
    <row r="59" spans="1:17" ht="14.25">
      <c r="A59" s="571"/>
      <c r="C59" s="56">
        <v>7</v>
      </c>
      <c r="D59" s="595" t="s">
        <v>722</v>
      </c>
      <c r="E59" s="83"/>
      <c r="F59" s="80" t="s">
        <v>704</v>
      </c>
      <c r="G59" s="80">
        <v>1</v>
      </c>
      <c r="H59" s="80">
        <v>2012</v>
      </c>
      <c r="I59" s="81">
        <v>477.25</v>
      </c>
      <c r="J59" s="80">
        <f t="shared" si="8"/>
        <v>100</v>
      </c>
      <c r="K59" s="80">
        <f t="shared" si="9"/>
        <v>0</v>
      </c>
      <c r="L59" s="80"/>
      <c r="M59" s="80"/>
      <c r="N59" s="58">
        <f t="shared" si="10"/>
        <v>0</v>
      </c>
      <c r="O59" s="80"/>
      <c r="P59" s="80"/>
      <c r="Q59" s="58">
        <f t="shared" si="11"/>
        <v>0</v>
      </c>
    </row>
    <row r="60" spans="1:17" ht="32.25" customHeight="1">
      <c r="A60" s="571"/>
      <c r="C60" s="56">
        <v>8</v>
      </c>
      <c r="D60" s="595" t="s">
        <v>723</v>
      </c>
      <c r="E60" s="83"/>
      <c r="F60" s="80" t="s">
        <v>704</v>
      </c>
      <c r="G60" s="80">
        <v>1</v>
      </c>
      <c r="H60" s="80">
        <v>2001</v>
      </c>
      <c r="I60" s="80">
        <v>1105.3</v>
      </c>
      <c r="J60" s="80">
        <f t="shared" si="8"/>
        <v>100</v>
      </c>
      <c r="K60" s="80">
        <f t="shared" si="9"/>
        <v>0</v>
      </c>
      <c r="L60" s="80"/>
      <c r="M60" s="80"/>
      <c r="N60" s="58">
        <f t="shared" si="10"/>
        <v>0</v>
      </c>
      <c r="O60" s="80"/>
      <c r="P60" s="80"/>
      <c r="Q60" s="58">
        <f t="shared" si="11"/>
        <v>0</v>
      </c>
    </row>
    <row r="61" spans="1:17" ht="14.25">
      <c r="A61" s="571"/>
      <c r="C61" s="56">
        <v>9</v>
      </c>
      <c r="D61" s="595" t="s">
        <v>724</v>
      </c>
      <c r="E61" s="83"/>
      <c r="F61" s="80" t="s">
        <v>704</v>
      </c>
      <c r="G61" s="80">
        <v>1</v>
      </c>
      <c r="H61" s="80">
        <v>2013</v>
      </c>
      <c r="I61" s="81">
        <v>1480.99</v>
      </c>
      <c r="J61" s="80">
        <f t="shared" si="8"/>
        <v>100</v>
      </c>
      <c r="K61" s="80">
        <f t="shared" si="9"/>
        <v>0</v>
      </c>
      <c r="L61" s="80"/>
      <c r="M61" s="80"/>
      <c r="N61" s="58">
        <f t="shared" si="10"/>
        <v>0</v>
      </c>
      <c r="O61" s="80"/>
      <c r="P61" s="80"/>
      <c r="Q61" s="58">
        <f t="shared" si="11"/>
        <v>0</v>
      </c>
    </row>
    <row r="62" spans="1:17" ht="14.25">
      <c r="A62" s="571"/>
      <c r="C62" s="56">
        <v>10</v>
      </c>
      <c r="D62" s="595" t="s">
        <v>725</v>
      </c>
      <c r="E62" s="83"/>
      <c r="F62" s="80" t="s">
        <v>704</v>
      </c>
      <c r="G62" s="80">
        <v>1</v>
      </c>
      <c r="H62" s="80">
        <v>1999</v>
      </c>
      <c r="I62" s="81">
        <v>39717</v>
      </c>
      <c r="J62" s="80">
        <f t="shared" si="8"/>
        <v>100</v>
      </c>
      <c r="K62" s="80">
        <f t="shared" si="9"/>
        <v>0</v>
      </c>
      <c r="L62" s="80"/>
      <c r="M62" s="80"/>
      <c r="N62" s="58">
        <f t="shared" si="10"/>
        <v>0</v>
      </c>
      <c r="O62" s="80"/>
      <c r="P62" s="80"/>
      <c r="Q62" s="58">
        <f t="shared" si="11"/>
        <v>0</v>
      </c>
    </row>
    <row r="63" spans="1:17" ht="14.25">
      <c r="A63" s="571"/>
      <c r="C63" s="56">
        <v>11</v>
      </c>
      <c r="D63" s="595" t="s">
        <v>726</v>
      </c>
      <c r="E63" s="83"/>
      <c r="F63" s="80" t="s">
        <v>704</v>
      </c>
      <c r="G63" s="80">
        <v>3</v>
      </c>
      <c r="H63" s="80">
        <v>1995</v>
      </c>
      <c r="I63" s="81">
        <v>225</v>
      </c>
      <c r="J63" s="80">
        <f t="shared" si="8"/>
        <v>100</v>
      </c>
      <c r="K63" s="80">
        <f t="shared" si="9"/>
        <v>0</v>
      </c>
      <c r="L63" s="80"/>
      <c r="M63" s="80"/>
      <c r="N63" s="58">
        <f t="shared" si="10"/>
        <v>0</v>
      </c>
      <c r="O63" s="80"/>
      <c r="P63" s="80"/>
      <c r="Q63" s="58">
        <f t="shared" si="11"/>
        <v>0</v>
      </c>
    </row>
    <row r="64" spans="1:17" ht="14.25">
      <c r="A64" s="571"/>
      <c r="C64" s="56">
        <v>12</v>
      </c>
      <c r="D64" s="595" t="s">
        <v>727</v>
      </c>
      <c r="E64" s="83"/>
      <c r="F64" s="80" t="s">
        <v>704</v>
      </c>
      <c r="G64" s="80">
        <v>1</v>
      </c>
      <c r="H64" s="80">
        <v>2009</v>
      </c>
      <c r="I64" s="81">
        <f>101*G64</f>
        <v>101</v>
      </c>
      <c r="J64" s="80">
        <f t="shared" si="8"/>
        <v>100</v>
      </c>
      <c r="K64" s="80">
        <f t="shared" si="9"/>
        <v>0</v>
      </c>
      <c r="L64" s="80"/>
      <c r="M64" s="80"/>
      <c r="N64" s="58">
        <f t="shared" si="10"/>
        <v>0</v>
      </c>
      <c r="O64" s="80"/>
      <c r="P64" s="80"/>
      <c r="Q64" s="58">
        <f t="shared" si="11"/>
        <v>0</v>
      </c>
    </row>
    <row r="65" spans="1:17" ht="14.25">
      <c r="A65" s="571"/>
      <c r="C65" s="56">
        <v>13</v>
      </c>
      <c r="D65" s="595" t="s">
        <v>728</v>
      </c>
      <c r="E65" s="83"/>
      <c r="F65" s="80" t="s">
        <v>704</v>
      </c>
      <c r="G65" s="80">
        <v>1</v>
      </c>
      <c r="H65" s="80">
        <v>2016</v>
      </c>
      <c r="I65" s="81">
        <f>207.6*G65</f>
        <v>207.6</v>
      </c>
      <c r="J65" s="80">
        <f t="shared" si="8"/>
        <v>100</v>
      </c>
      <c r="K65" s="80">
        <f t="shared" si="9"/>
        <v>0</v>
      </c>
      <c r="L65" s="80"/>
      <c r="M65" s="80"/>
      <c r="N65" s="58">
        <f t="shared" si="10"/>
        <v>0</v>
      </c>
      <c r="O65" s="80"/>
      <c r="P65" s="80"/>
      <c r="Q65" s="58">
        <f t="shared" si="11"/>
        <v>0</v>
      </c>
    </row>
    <row r="66" spans="2:17" ht="28.5">
      <c r="B66" s="403"/>
      <c r="C66" s="400">
        <v>3</v>
      </c>
      <c r="D66" s="401" t="s">
        <v>294</v>
      </c>
      <c r="E66" s="401"/>
      <c r="F66" s="402"/>
      <c r="G66" s="404">
        <f>SUM(G67:G67)</f>
        <v>2</v>
      </c>
      <c r="H66" s="403"/>
      <c r="I66" s="403"/>
      <c r="J66" s="403"/>
      <c r="K66" s="404">
        <f>SUM(K67:K67)</f>
        <v>0</v>
      </c>
      <c r="L66" s="404">
        <f>SUM(L67:L67)</f>
        <v>0</v>
      </c>
      <c r="M66" s="403"/>
      <c r="N66" s="404">
        <f>SUM(N67:N67)</f>
        <v>0</v>
      </c>
      <c r="O66" s="404">
        <f>SUM(O67:O67)</f>
        <v>0</v>
      </c>
      <c r="P66" s="403"/>
      <c r="Q66" s="404">
        <f>SUM(Q67:Q67)</f>
        <v>0</v>
      </c>
    </row>
    <row r="67" spans="1:17" ht="14.25">
      <c r="A67" s="403"/>
      <c r="C67" s="56">
        <v>1</v>
      </c>
      <c r="D67" s="600" t="s">
        <v>729</v>
      </c>
      <c r="E67" s="83"/>
      <c r="F67" s="80" t="s">
        <v>704</v>
      </c>
      <c r="G67" s="80">
        <v>2</v>
      </c>
      <c r="H67" s="80">
        <v>2016</v>
      </c>
      <c r="I67" s="80">
        <f>84.7*G67</f>
        <v>169.4</v>
      </c>
      <c r="J67" s="80">
        <f>IF(($J$14-H67)*J$40&gt;100,100,($J$14-H67)*J$40)</f>
        <v>100</v>
      </c>
      <c r="K67" s="80">
        <f>IF(J67=100,0,I67-I67*J67%)</f>
        <v>0</v>
      </c>
      <c r="L67" s="80"/>
      <c r="M67" s="80"/>
      <c r="N67" s="58">
        <f>+L67*M67</f>
        <v>0</v>
      </c>
      <c r="O67" s="80"/>
      <c r="P67" s="80"/>
      <c r="Q67" s="58">
        <f>+O67*P67</f>
        <v>0</v>
      </c>
    </row>
    <row r="68" spans="2:17" ht="17.25">
      <c r="B68" s="428"/>
      <c r="C68" s="427">
        <v>619</v>
      </c>
      <c r="D68" s="412" t="s">
        <v>303</v>
      </c>
      <c r="E68" s="413">
        <v>8</v>
      </c>
      <c r="F68" s="80"/>
      <c r="G68" s="399">
        <f>SUM(G69:G95)</f>
        <v>39</v>
      </c>
      <c r="H68" s="80"/>
      <c r="I68" s="80"/>
      <c r="J68" s="433">
        <v>12.5</v>
      </c>
      <c r="K68" s="399">
        <f>SUM(K69:K95)</f>
        <v>160240.19100000002</v>
      </c>
      <c r="L68" s="399">
        <f>SUM(L69:L95)</f>
        <v>0</v>
      </c>
      <c r="M68" s="80"/>
      <c r="N68" s="399">
        <f>SUM(N69:N95)</f>
        <v>0</v>
      </c>
      <c r="O68" s="399">
        <f>SUM(O69:O95)</f>
        <v>0</v>
      </c>
      <c r="P68" s="80"/>
      <c r="Q68" s="399">
        <f>SUM(Q69:Q95)</f>
        <v>0</v>
      </c>
    </row>
    <row r="69" spans="1:17" ht="16.5">
      <c r="A69" s="428"/>
      <c r="C69" s="56">
        <v>1</v>
      </c>
      <c r="D69" s="595" t="s">
        <v>730</v>
      </c>
      <c r="E69" s="83"/>
      <c r="F69" s="80" t="s">
        <v>704</v>
      </c>
      <c r="G69" s="80">
        <v>7</v>
      </c>
      <c r="H69" s="80">
        <v>2016</v>
      </c>
      <c r="I69" s="80">
        <f>23.2*G69</f>
        <v>162.4</v>
      </c>
      <c r="J69" s="80">
        <f aca="true" t="shared" si="12" ref="J69:J95">IF(($J$14-H69)*J$68&gt;100,100,($J$14-H69)*J$68)</f>
        <v>100</v>
      </c>
      <c r="K69" s="80">
        <f aca="true" t="shared" si="13" ref="K69:K95">IF(J69=100,0,I69-I69*J69%)</f>
        <v>0</v>
      </c>
      <c r="L69" s="80"/>
      <c r="M69" s="80"/>
      <c r="N69" s="58">
        <f>+L69*M69</f>
        <v>0</v>
      </c>
      <c r="O69" s="80"/>
      <c r="P69" s="80"/>
      <c r="Q69" s="58">
        <f>+O69*P69</f>
        <v>0</v>
      </c>
    </row>
    <row r="70" spans="1:17" ht="16.5">
      <c r="A70" s="601"/>
      <c r="C70" s="56">
        <f>C69+1</f>
        <v>2</v>
      </c>
      <c r="D70" s="595" t="s">
        <v>731</v>
      </c>
      <c r="E70" s="83"/>
      <c r="F70" s="80" t="s">
        <v>704</v>
      </c>
      <c r="G70" s="80">
        <v>2</v>
      </c>
      <c r="H70" s="80">
        <v>2012</v>
      </c>
      <c r="I70" s="80">
        <f>30.1*G70</f>
        <v>60.2</v>
      </c>
      <c r="J70" s="80">
        <f t="shared" si="12"/>
        <v>100</v>
      </c>
      <c r="K70" s="80">
        <f t="shared" si="13"/>
        <v>0</v>
      </c>
      <c r="L70" s="80"/>
      <c r="M70" s="80"/>
      <c r="N70" s="58">
        <f aca="true" t="shared" si="14" ref="N70:N95">+L70*M70</f>
        <v>0</v>
      </c>
      <c r="O70" s="80"/>
      <c r="P70" s="80"/>
      <c r="Q70" s="58">
        <f aca="true" t="shared" si="15" ref="Q70:Q95">+O70*P70</f>
        <v>0</v>
      </c>
    </row>
    <row r="71" spans="1:17" ht="16.5">
      <c r="A71" s="601"/>
      <c r="C71" s="56">
        <f aca="true" t="shared" si="16" ref="C71:C95">C70+1</f>
        <v>3</v>
      </c>
      <c r="D71" s="595" t="s">
        <v>732</v>
      </c>
      <c r="E71" s="83"/>
      <c r="F71" s="80" t="s">
        <v>704</v>
      </c>
      <c r="G71" s="80">
        <v>1</v>
      </c>
      <c r="H71" s="80">
        <v>2016</v>
      </c>
      <c r="I71" s="80">
        <v>53.2</v>
      </c>
      <c r="J71" s="80">
        <f t="shared" si="12"/>
        <v>100</v>
      </c>
      <c r="K71" s="80">
        <f t="shared" si="13"/>
        <v>0</v>
      </c>
      <c r="L71" s="80"/>
      <c r="M71" s="80"/>
      <c r="N71" s="58">
        <f t="shared" si="14"/>
        <v>0</v>
      </c>
      <c r="O71" s="80"/>
      <c r="P71" s="80"/>
      <c r="Q71" s="58">
        <f t="shared" si="15"/>
        <v>0</v>
      </c>
    </row>
    <row r="72" spans="1:17" ht="16.5">
      <c r="A72" s="601"/>
      <c r="C72" s="56">
        <f t="shared" si="16"/>
        <v>4</v>
      </c>
      <c r="D72" s="595" t="s">
        <v>733</v>
      </c>
      <c r="E72" s="83"/>
      <c r="F72" s="80" t="s">
        <v>704</v>
      </c>
      <c r="G72" s="80">
        <v>4</v>
      </c>
      <c r="H72" s="80">
        <v>2012</v>
      </c>
      <c r="I72" s="80">
        <f>155.8*G72</f>
        <v>623.2</v>
      </c>
      <c r="J72" s="80">
        <f t="shared" si="12"/>
        <v>100</v>
      </c>
      <c r="K72" s="80">
        <f t="shared" si="13"/>
        <v>0</v>
      </c>
      <c r="L72" s="80"/>
      <c r="M72" s="80"/>
      <c r="N72" s="58">
        <f t="shared" si="14"/>
        <v>0</v>
      </c>
      <c r="O72" s="80"/>
      <c r="P72" s="80"/>
      <c r="Q72" s="58">
        <f t="shared" si="15"/>
        <v>0</v>
      </c>
    </row>
    <row r="73" spans="1:17" ht="16.5">
      <c r="A73" s="601"/>
      <c r="C73" s="56">
        <f t="shared" si="16"/>
        <v>5</v>
      </c>
      <c r="D73" s="595" t="s">
        <v>734</v>
      </c>
      <c r="E73" s="83"/>
      <c r="F73" s="80" t="s">
        <v>704</v>
      </c>
      <c r="G73" s="80">
        <v>1</v>
      </c>
      <c r="H73" s="80">
        <v>2013</v>
      </c>
      <c r="I73" s="81">
        <v>255</v>
      </c>
      <c r="J73" s="80">
        <f t="shared" si="12"/>
        <v>100</v>
      </c>
      <c r="K73" s="80">
        <f t="shared" si="13"/>
        <v>0</v>
      </c>
      <c r="L73" s="80"/>
      <c r="M73" s="80"/>
      <c r="N73" s="58">
        <f t="shared" si="14"/>
        <v>0</v>
      </c>
      <c r="O73" s="80"/>
      <c r="P73" s="80"/>
      <c r="Q73" s="58">
        <f t="shared" si="15"/>
        <v>0</v>
      </c>
    </row>
    <row r="74" spans="1:17" ht="16.5">
      <c r="A74" s="601"/>
      <c r="C74" s="56">
        <f t="shared" si="16"/>
        <v>6</v>
      </c>
      <c r="D74" s="595" t="s">
        <v>735</v>
      </c>
      <c r="E74" s="83"/>
      <c r="F74" s="80" t="s">
        <v>704</v>
      </c>
      <c r="G74" s="80">
        <v>1</v>
      </c>
      <c r="H74" s="80">
        <v>2013</v>
      </c>
      <c r="I74" s="80">
        <v>258.6</v>
      </c>
      <c r="J74" s="80">
        <f t="shared" si="12"/>
        <v>100</v>
      </c>
      <c r="K74" s="80">
        <f t="shared" si="13"/>
        <v>0</v>
      </c>
      <c r="L74" s="80"/>
      <c r="M74" s="80"/>
      <c r="N74" s="58">
        <f t="shared" si="14"/>
        <v>0</v>
      </c>
      <c r="O74" s="80"/>
      <c r="P74" s="80"/>
      <c r="Q74" s="58">
        <f t="shared" si="15"/>
        <v>0</v>
      </c>
    </row>
    <row r="75" spans="1:17" ht="16.5">
      <c r="A75" s="601"/>
      <c r="C75" s="56">
        <f t="shared" si="16"/>
        <v>7</v>
      </c>
      <c r="D75" s="595" t="s">
        <v>736</v>
      </c>
      <c r="E75" s="83"/>
      <c r="F75" s="80" t="s">
        <v>704</v>
      </c>
      <c r="G75" s="80">
        <v>3</v>
      </c>
      <c r="H75" s="80">
        <v>2016</v>
      </c>
      <c r="I75" s="80">
        <f>558.3*G75</f>
        <v>1674.8999999999999</v>
      </c>
      <c r="J75" s="80">
        <f t="shared" si="12"/>
        <v>100</v>
      </c>
      <c r="K75" s="80">
        <f t="shared" si="13"/>
        <v>0</v>
      </c>
      <c r="L75" s="80"/>
      <c r="M75" s="80"/>
      <c r="N75" s="58">
        <f t="shared" si="14"/>
        <v>0</v>
      </c>
      <c r="O75" s="80"/>
      <c r="P75" s="80"/>
      <c r="Q75" s="58">
        <f t="shared" si="15"/>
        <v>0</v>
      </c>
    </row>
    <row r="76" spans="1:17" ht="16.5">
      <c r="A76" s="601"/>
      <c r="C76" s="56">
        <f t="shared" si="16"/>
        <v>8</v>
      </c>
      <c r="D76" s="595" t="s">
        <v>737</v>
      </c>
      <c r="E76" s="83"/>
      <c r="F76" s="80" t="s">
        <v>704</v>
      </c>
      <c r="G76" s="80">
        <v>1</v>
      </c>
      <c r="H76" s="80">
        <v>2016</v>
      </c>
      <c r="I76" s="80">
        <v>967.6</v>
      </c>
      <c r="J76" s="80">
        <f t="shared" si="12"/>
        <v>100</v>
      </c>
      <c r="K76" s="80">
        <f t="shared" si="13"/>
        <v>0</v>
      </c>
      <c r="L76" s="80"/>
      <c r="M76" s="80"/>
      <c r="N76" s="58">
        <f t="shared" si="14"/>
        <v>0</v>
      </c>
      <c r="O76" s="80"/>
      <c r="P76" s="80"/>
      <c r="Q76" s="58">
        <f t="shared" si="15"/>
        <v>0</v>
      </c>
    </row>
    <row r="77" spans="1:17" ht="16.5">
      <c r="A77" s="601"/>
      <c r="C77" s="56">
        <f t="shared" si="16"/>
        <v>9</v>
      </c>
      <c r="D77" s="595" t="s">
        <v>738</v>
      </c>
      <c r="E77" s="83"/>
      <c r="F77" s="80" t="s">
        <v>704</v>
      </c>
      <c r="G77" s="80">
        <v>1</v>
      </c>
      <c r="H77" s="80">
        <v>2016</v>
      </c>
      <c r="I77" s="81">
        <v>1315.4</v>
      </c>
      <c r="J77" s="80">
        <f t="shared" si="12"/>
        <v>100</v>
      </c>
      <c r="K77" s="80">
        <f t="shared" si="13"/>
        <v>0</v>
      </c>
      <c r="L77" s="80"/>
      <c r="M77" s="80"/>
      <c r="N77" s="58">
        <f t="shared" si="14"/>
        <v>0</v>
      </c>
      <c r="O77" s="80"/>
      <c r="P77" s="80"/>
      <c r="Q77" s="58">
        <f t="shared" si="15"/>
        <v>0</v>
      </c>
    </row>
    <row r="78" spans="1:17" ht="16.5">
      <c r="A78" s="601"/>
      <c r="C78" s="56">
        <f t="shared" si="16"/>
        <v>10</v>
      </c>
      <c r="D78" s="595" t="s">
        <v>732</v>
      </c>
      <c r="E78" s="83"/>
      <c r="F78" s="80" t="s">
        <v>704</v>
      </c>
      <c r="G78" s="80">
        <v>1</v>
      </c>
      <c r="H78" s="80">
        <v>2016</v>
      </c>
      <c r="I78" s="80">
        <v>53.2</v>
      </c>
      <c r="J78" s="80">
        <f t="shared" si="12"/>
        <v>100</v>
      </c>
      <c r="K78" s="80">
        <f t="shared" si="13"/>
        <v>0</v>
      </c>
      <c r="L78" s="80"/>
      <c r="M78" s="80"/>
      <c r="N78" s="58">
        <f t="shared" si="14"/>
        <v>0</v>
      </c>
      <c r="O78" s="80"/>
      <c r="P78" s="80"/>
      <c r="Q78" s="58">
        <f t="shared" si="15"/>
        <v>0</v>
      </c>
    </row>
    <row r="79" spans="1:17" ht="16.5">
      <c r="A79" s="601"/>
      <c r="C79" s="56">
        <f t="shared" si="16"/>
        <v>11</v>
      </c>
      <c r="D79" s="8" t="s">
        <v>739</v>
      </c>
      <c r="E79" s="83"/>
      <c r="F79" s="80" t="s">
        <v>740</v>
      </c>
      <c r="G79" s="80">
        <v>1</v>
      </c>
      <c r="H79" s="80">
        <v>2022</v>
      </c>
      <c r="I79" s="81">
        <v>132151.375</v>
      </c>
      <c r="J79" s="80">
        <f t="shared" si="12"/>
        <v>25</v>
      </c>
      <c r="K79" s="81">
        <f t="shared" si="13"/>
        <v>99113.53125</v>
      </c>
      <c r="L79" s="80"/>
      <c r="M79" s="80"/>
      <c r="N79" s="58">
        <f t="shared" si="14"/>
        <v>0</v>
      </c>
      <c r="O79" s="80"/>
      <c r="P79" s="80"/>
      <c r="Q79" s="58">
        <f t="shared" si="15"/>
        <v>0</v>
      </c>
    </row>
    <row r="80" spans="1:17" ht="27">
      <c r="A80" s="601"/>
      <c r="C80" s="56">
        <f t="shared" si="16"/>
        <v>12</v>
      </c>
      <c r="D80" s="8" t="s">
        <v>741</v>
      </c>
      <c r="E80" s="83"/>
      <c r="F80" s="80" t="s">
        <v>740</v>
      </c>
      <c r="G80" s="80">
        <v>1</v>
      </c>
      <c r="H80" s="80">
        <v>2022</v>
      </c>
      <c r="I80" s="81">
        <v>6291.577</v>
      </c>
      <c r="J80" s="80">
        <f t="shared" si="12"/>
        <v>25</v>
      </c>
      <c r="K80" s="81">
        <f t="shared" si="13"/>
        <v>4718.68275</v>
      </c>
      <c r="L80" s="80"/>
      <c r="M80" s="80"/>
      <c r="N80" s="58">
        <f t="shared" si="14"/>
        <v>0</v>
      </c>
      <c r="O80" s="80"/>
      <c r="P80" s="80"/>
      <c r="Q80" s="58">
        <f t="shared" si="15"/>
        <v>0</v>
      </c>
    </row>
    <row r="81" spans="1:17" ht="16.5">
      <c r="A81" s="601"/>
      <c r="C81" s="56">
        <f t="shared" si="16"/>
        <v>13</v>
      </c>
      <c r="D81" s="80" t="s">
        <v>742</v>
      </c>
      <c r="E81" s="83"/>
      <c r="F81" s="80" t="s">
        <v>740</v>
      </c>
      <c r="G81" s="80">
        <v>1</v>
      </c>
      <c r="H81" s="80">
        <v>2022</v>
      </c>
      <c r="I81" s="80">
        <v>17458.7</v>
      </c>
      <c r="J81" s="80">
        <f t="shared" si="12"/>
        <v>25</v>
      </c>
      <c r="K81" s="81">
        <f t="shared" si="13"/>
        <v>13094.025000000001</v>
      </c>
      <c r="L81" s="80"/>
      <c r="M81" s="80"/>
      <c r="N81" s="58">
        <f t="shared" si="14"/>
        <v>0</v>
      </c>
      <c r="O81" s="80"/>
      <c r="P81" s="80"/>
      <c r="Q81" s="58">
        <f t="shared" si="15"/>
        <v>0</v>
      </c>
    </row>
    <row r="82" spans="1:17" ht="16.5">
      <c r="A82" s="601"/>
      <c r="C82" s="56">
        <f t="shared" si="16"/>
        <v>14</v>
      </c>
      <c r="D82" s="602" t="s">
        <v>743</v>
      </c>
      <c r="E82" s="83"/>
      <c r="F82" s="80" t="s">
        <v>740</v>
      </c>
      <c r="G82" s="80">
        <v>1</v>
      </c>
      <c r="H82" s="80">
        <v>2022</v>
      </c>
      <c r="I82" s="81">
        <v>14154.017</v>
      </c>
      <c r="J82" s="80">
        <f t="shared" si="12"/>
        <v>25</v>
      </c>
      <c r="K82" s="81">
        <f t="shared" si="13"/>
        <v>10615.51275</v>
      </c>
      <c r="L82" s="80"/>
      <c r="M82" s="80"/>
      <c r="N82" s="58">
        <f t="shared" si="14"/>
        <v>0</v>
      </c>
      <c r="O82" s="80"/>
      <c r="P82" s="80"/>
      <c r="Q82" s="58">
        <f t="shared" si="15"/>
        <v>0</v>
      </c>
    </row>
    <row r="83" spans="1:17" ht="16.5">
      <c r="A83" s="601"/>
      <c r="C83" s="56">
        <f t="shared" si="16"/>
        <v>15</v>
      </c>
      <c r="D83" s="603" t="s">
        <v>744</v>
      </c>
      <c r="E83" s="83"/>
      <c r="F83" s="80" t="s">
        <v>704</v>
      </c>
      <c r="G83" s="80">
        <v>1</v>
      </c>
      <c r="H83" s="80">
        <v>2022</v>
      </c>
      <c r="I83" s="604">
        <v>7033.362</v>
      </c>
      <c r="J83" s="80">
        <f t="shared" si="12"/>
        <v>25</v>
      </c>
      <c r="K83" s="81">
        <f t="shared" si="13"/>
        <v>5275.0215</v>
      </c>
      <c r="L83" s="80"/>
      <c r="M83" s="80"/>
      <c r="N83" s="58">
        <f t="shared" si="14"/>
        <v>0</v>
      </c>
      <c r="O83" s="80"/>
      <c r="P83" s="80"/>
      <c r="Q83" s="58">
        <f t="shared" si="15"/>
        <v>0</v>
      </c>
    </row>
    <row r="84" spans="1:17" ht="16.5">
      <c r="A84" s="601"/>
      <c r="C84" s="56">
        <f t="shared" si="16"/>
        <v>16</v>
      </c>
      <c r="D84" s="603" t="s">
        <v>745</v>
      </c>
      <c r="E84" s="83"/>
      <c r="F84" s="80" t="s">
        <v>704</v>
      </c>
      <c r="G84" s="80">
        <v>1</v>
      </c>
      <c r="H84" s="80">
        <v>2022</v>
      </c>
      <c r="I84" s="604">
        <v>5985.84</v>
      </c>
      <c r="J84" s="80">
        <f t="shared" si="12"/>
        <v>25</v>
      </c>
      <c r="K84" s="80">
        <f t="shared" si="13"/>
        <v>4489.38</v>
      </c>
      <c r="L84" s="80"/>
      <c r="M84" s="80"/>
      <c r="N84" s="58">
        <f t="shared" si="14"/>
        <v>0</v>
      </c>
      <c r="O84" s="80"/>
      <c r="P84" s="80"/>
      <c r="Q84" s="58">
        <f t="shared" si="15"/>
        <v>0</v>
      </c>
    </row>
    <row r="85" spans="1:17" ht="27">
      <c r="A85" s="601"/>
      <c r="C85" s="56">
        <f t="shared" si="16"/>
        <v>17</v>
      </c>
      <c r="D85" s="603" t="s">
        <v>746</v>
      </c>
      <c r="E85" s="83"/>
      <c r="F85" s="80" t="s">
        <v>740</v>
      </c>
      <c r="G85" s="80">
        <v>1</v>
      </c>
      <c r="H85" s="80">
        <v>2022</v>
      </c>
      <c r="I85" s="604">
        <v>9270.071</v>
      </c>
      <c r="J85" s="80">
        <f t="shared" si="12"/>
        <v>25</v>
      </c>
      <c r="K85" s="81">
        <f t="shared" si="13"/>
        <v>6952.55325</v>
      </c>
      <c r="L85" s="80"/>
      <c r="M85" s="80"/>
      <c r="N85" s="58">
        <f t="shared" si="14"/>
        <v>0</v>
      </c>
      <c r="O85" s="80"/>
      <c r="P85" s="80"/>
      <c r="Q85" s="58">
        <f t="shared" si="15"/>
        <v>0</v>
      </c>
    </row>
    <row r="86" spans="1:17" ht="16.5">
      <c r="A86" s="601"/>
      <c r="C86" s="56">
        <f t="shared" si="16"/>
        <v>18</v>
      </c>
      <c r="D86" s="603" t="s">
        <v>747</v>
      </c>
      <c r="E86" s="83"/>
      <c r="F86" s="80" t="s">
        <v>740</v>
      </c>
      <c r="G86" s="80">
        <v>1</v>
      </c>
      <c r="H86" s="80">
        <v>2022</v>
      </c>
      <c r="I86" s="604">
        <v>374.115</v>
      </c>
      <c r="J86" s="80">
        <f t="shared" si="12"/>
        <v>25</v>
      </c>
      <c r="K86" s="81">
        <f t="shared" si="13"/>
        <v>280.58625</v>
      </c>
      <c r="L86" s="80"/>
      <c r="M86" s="80"/>
      <c r="N86" s="58">
        <f t="shared" si="14"/>
        <v>0</v>
      </c>
      <c r="O86" s="80"/>
      <c r="P86" s="80"/>
      <c r="Q86" s="58">
        <f t="shared" si="15"/>
        <v>0</v>
      </c>
    </row>
    <row r="87" spans="1:17" ht="16.5">
      <c r="A87" s="601"/>
      <c r="C87" s="56">
        <f t="shared" si="16"/>
        <v>19</v>
      </c>
      <c r="D87" s="603" t="s">
        <v>748</v>
      </c>
      <c r="E87" s="83"/>
      <c r="F87" s="80" t="s">
        <v>704</v>
      </c>
      <c r="G87" s="80">
        <v>1</v>
      </c>
      <c r="H87" s="80">
        <v>2022</v>
      </c>
      <c r="I87" s="604">
        <v>5488.493</v>
      </c>
      <c r="J87" s="80">
        <f t="shared" si="12"/>
        <v>25</v>
      </c>
      <c r="K87" s="81">
        <f t="shared" si="13"/>
        <v>4116.36975</v>
      </c>
      <c r="L87" s="80"/>
      <c r="M87" s="80"/>
      <c r="N87" s="58">
        <f t="shared" si="14"/>
        <v>0</v>
      </c>
      <c r="O87" s="80"/>
      <c r="P87" s="80"/>
      <c r="Q87" s="58">
        <f t="shared" si="15"/>
        <v>0</v>
      </c>
    </row>
    <row r="88" spans="1:17" ht="16.5">
      <c r="A88" s="601"/>
      <c r="C88" s="56">
        <f t="shared" si="16"/>
        <v>20</v>
      </c>
      <c r="D88" s="603" t="s">
        <v>749</v>
      </c>
      <c r="E88" s="83"/>
      <c r="F88" s="80" t="s">
        <v>704</v>
      </c>
      <c r="G88" s="80">
        <v>1</v>
      </c>
      <c r="H88" s="80">
        <v>2022</v>
      </c>
      <c r="I88" s="604">
        <v>2909.585</v>
      </c>
      <c r="J88" s="80">
        <f t="shared" si="12"/>
        <v>25</v>
      </c>
      <c r="K88" s="81">
        <f t="shared" si="13"/>
        <v>2182.1887500000003</v>
      </c>
      <c r="L88" s="80"/>
      <c r="M88" s="80"/>
      <c r="N88" s="58">
        <f t="shared" si="14"/>
        <v>0</v>
      </c>
      <c r="O88" s="80"/>
      <c r="P88" s="80"/>
      <c r="Q88" s="58">
        <f t="shared" si="15"/>
        <v>0</v>
      </c>
    </row>
    <row r="89" spans="1:17" ht="16.5">
      <c r="A89" s="601"/>
      <c r="C89" s="56">
        <f t="shared" si="16"/>
        <v>21</v>
      </c>
      <c r="D89" s="603" t="s">
        <v>750</v>
      </c>
      <c r="E89" s="83"/>
      <c r="F89" s="80" t="s">
        <v>740</v>
      </c>
      <c r="G89" s="80">
        <v>1</v>
      </c>
      <c r="H89" s="80">
        <v>2022</v>
      </c>
      <c r="I89" s="604">
        <v>909.857</v>
      </c>
      <c r="J89" s="80">
        <f t="shared" si="12"/>
        <v>25</v>
      </c>
      <c r="K89" s="81">
        <f t="shared" si="13"/>
        <v>682.39275</v>
      </c>
      <c r="L89" s="80"/>
      <c r="M89" s="80"/>
      <c r="N89" s="58">
        <f t="shared" si="14"/>
        <v>0</v>
      </c>
      <c r="O89" s="80"/>
      <c r="P89" s="80"/>
      <c r="Q89" s="58">
        <f t="shared" si="15"/>
        <v>0</v>
      </c>
    </row>
    <row r="90" spans="1:17" ht="16.5">
      <c r="A90" s="601"/>
      <c r="C90" s="56">
        <f t="shared" si="16"/>
        <v>22</v>
      </c>
      <c r="D90" s="603" t="s">
        <v>749</v>
      </c>
      <c r="E90" s="83"/>
      <c r="F90" s="80" t="s">
        <v>704</v>
      </c>
      <c r="G90" s="80">
        <v>1</v>
      </c>
      <c r="H90" s="80">
        <v>2022</v>
      </c>
      <c r="I90" s="604">
        <v>2179.483</v>
      </c>
      <c r="J90" s="80">
        <f t="shared" si="12"/>
        <v>25</v>
      </c>
      <c r="K90" s="81">
        <f t="shared" si="13"/>
        <v>1634.6122500000001</v>
      </c>
      <c r="L90" s="80"/>
      <c r="M90" s="80"/>
      <c r="N90" s="58">
        <f t="shared" si="14"/>
        <v>0</v>
      </c>
      <c r="O90" s="80"/>
      <c r="P90" s="80"/>
      <c r="Q90" s="58">
        <f t="shared" si="15"/>
        <v>0</v>
      </c>
    </row>
    <row r="91" spans="1:17" ht="16.5">
      <c r="A91" s="601"/>
      <c r="C91" s="56">
        <f t="shared" si="16"/>
        <v>23</v>
      </c>
      <c r="D91" s="603" t="s">
        <v>751</v>
      </c>
      <c r="E91" s="83"/>
      <c r="F91" s="80" t="s">
        <v>704</v>
      </c>
      <c r="G91" s="80">
        <v>1</v>
      </c>
      <c r="H91" s="80">
        <v>2022</v>
      </c>
      <c r="I91" s="604">
        <v>240.072</v>
      </c>
      <c r="J91" s="80">
        <f t="shared" si="12"/>
        <v>25</v>
      </c>
      <c r="K91" s="81">
        <f t="shared" si="13"/>
        <v>180.054</v>
      </c>
      <c r="L91" s="80"/>
      <c r="M91" s="80"/>
      <c r="N91" s="58">
        <f t="shared" si="14"/>
        <v>0</v>
      </c>
      <c r="O91" s="80"/>
      <c r="P91" s="80"/>
      <c r="Q91" s="58">
        <f t="shared" si="15"/>
        <v>0</v>
      </c>
    </row>
    <row r="92" spans="1:17" ht="16.5">
      <c r="A92" s="601"/>
      <c r="C92" s="56">
        <f t="shared" si="16"/>
        <v>24</v>
      </c>
      <c r="D92" s="603" t="s">
        <v>752</v>
      </c>
      <c r="E92" s="83"/>
      <c r="F92" s="80" t="s">
        <v>704</v>
      </c>
      <c r="G92" s="80">
        <v>1</v>
      </c>
      <c r="H92" s="80">
        <v>2022</v>
      </c>
      <c r="I92" s="604">
        <v>169.936</v>
      </c>
      <c r="J92" s="80">
        <f t="shared" si="12"/>
        <v>25</v>
      </c>
      <c r="K92" s="81">
        <f t="shared" si="13"/>
        <v>127.452</v>
      </c>
      <c r="L92" s="80"/>
      <c r="M92" s="80"/>
      <c r="N92" s="58">
        <f t="shared" si="14"/>
        <v>0</v>
      </c>
      <c r="O92" s="80"/>
      <c r="P92" s="80"/>
      <c r="Q92" s="58">
        <f t="shared" si="15"/>
        <v>0</v>
      </c>
    </row>
    <row r="93" spans="1:17" ht="16.5">
      <c r="A93" s="601"/>
      <c r="C93" s="56">
        <f t="shared" si="16"/>
        <v>25</v>
      </c>
      <c r="D93" s="603" t="s">
        <v>751</v>
      </c>
      <c r="E93" s="83"/>
      <c r="F93" s="80" t="s">
        <v>704</v>
      </c>
      <c r="G93" s="80">
        <v>1</v>
      </c>
      <c r="H93" s="80">
        <v>2022</v>
      </c>
      <c r="I93" s="604">
        <v>19.189</v>
      </c>
      <c r="J93" s="80">
        <f t="shared" si="12"/>
        <v>25</v>
      </c>
      <c r="K93" s="81">
        <f t="shared" si="13"/>
        <v>14.39175</v>
      </c>
      <c r="L93" s="80"/>
      <c r="M93" s="80"/>
      <c r="N93" s="58">
        <f t="shared" si="14"/>
        <v>0</v>
      </c>
      <c r="O93" s="80"/>
      <c r="P93" s="80"/>
      <c r="Q93" s="58">
        <f t="shared" si="15"/>
        <v>0</v>
      </c>
    </row>
    <row r="94" spans="1:17" ht="27">
      <c r="A94" s="601"/>
      <c r="C94" s="56">
        <f t="shared" si="16"/>
        <v>26</v>
      </c>
      <c r="D94" s="603" t="s">
        <v>753</v>
      </c>
      <c r="E94" s="83"/>
      <c r="F94" s="80" t="s">
        <v>704</v>
      </c>
      <c r="G94" s="80">
        <v>1</v>
      </c>
      <c r="H94" s="80">
        <v>2022</v>
      </c>
      <c r="I94" s="604">
        <v>18.575</v>
      </c>
      <c r="J94" s="80">
        <f t="shared" si="12"/>
        <v>25</v>
      </c>
      <c r="K94" s="81">
        <f t="shared" si="13"/>
        <v>13.931249999999999</v>
      </c>
      <c r="L94" s="80"/>
      <c r="M94" s="80"/>
      <c r="N94" s="58">
        <f t="shared" si="14"/>
        <v>0</v>
      </c>
      <c r="O94" s="80"/>
      <c r="P94" s="80"/>
      <c r="Q94" s="58">
        <f t="shared" si="15"/>
        <v>0</v>
      </c>
    </row>
    <row r="95" spans="1:17" ht="16.5">
      <c r="A95" s="601"/>
      <c r="C95" s="56">
        <f t="shared" si="16"/>
        <v>27</v>
      </c>
      <c r="D95" s="603" t="s">
        <v>754</v>
      </c>
      <c r="E95" s="83"/>
      <c r="F95" s="80" t="s">
        <v>740</v>
      </c>
      <c r="G95" s="80">
        <v>1</v>
      </c>
      <c r="H95" s="80">
        <v>2022</v>
      </c>
      <c r="I95" s="604">
        <v>8999.341</v>
      </c>
      <c r="J95" s="80">
        <f t="shared" si="12"/>
        <v>25</v>
      </c>
      <c r="K95" s="81">
        <f t="shared" si="13"/>
        <v>6749.50575</v>
      </c>
      <c r="L95" s="80"/>
      <c r="M95" s="80"/>
      <c r="N95" s="58">
        <f t="shared" si="14"/>
        <v>0</v>
      </c>
      <c r="O95" s="80"/>
      <c r="P95" s="80"/>
      <c r="Q95" s="58">
        <f t="shared" si="15"/>
        <v>0</v>
      </c>
    </row>
    <row r="96" spans="2:17" ht="16.5">
      <c r="B96" s="430">
        <v>62</v>
      </c>
      <c r="C96" s="416"/>
      <c r="D96" s="417" t="s">
        <v>306</v>
      </c>
      <c r="E96" s="418"/>
      <c r="F96" s="419"/>
      <c r="G96" s="431">
        <f>+G97+G169+G172+G192</f>
        <v>452</v>
      </c>
      <c r="H96" s="420"/>
      <c r="I96" s="420"/>
      <c r="J96" s="420"/>
      <c r="K96" s="431">
        <f>+K97+K169+K172+K192</f>
        <v>87.79999999999995</v>
      </c>
      <c r="L96" s="431">
        <f>+L97+L169+L172+L192</f>
        <v>0</v>
      </c>
      <c r="M96" s="420"/>
      <c r="N96" s="421">
        <f>+N97+N169+N172+N192</f>
        <v>0</v>
      </c>
      <c r="O96" s="432">
        <f>SUM(O97:O168)</f>
        <v>0</v>
      </c>
      <c r="P96" s="420"/>
      <c r="Q96" s="421">
        <f>+Q97+Q169+Q172+Q192</f>
        <v>0</v>
      </c>
    </row>
    <row r="97" spans="1:17" ht="66">
      <c r="A97" s="429">
        <v>6</v>
      </c>
      <c r="B97" s="428"/>
      <c r="C97" s="427">
        <v>620</v>
      </c>
      <c r="D97" s="412" t="s">
        <v>308</v>
      </c>
      <c r="E97" s="413">
        <v>10</v>
      </c>
      <c r="F97" s="80"/>
      <c r="G97" s="399">
        <f>SUM(G98:G168)</f>
        <v>373</v>
      </c>
      <c r="H97" s="80"/>
      <c r="I97" s="80"/>
      <c r="J97" s="433">
        <v>10</v>
      </c>
      <c r="K97" s="399">
        <f>SUM(K98:K168)</f>
        <v>87.79999999999995</v>
      </c>
      <c r="L97" s="399">
        <f>SUM(L98:L168)</f>
        <v>0</v>
      </c>
      <c r="M97" s="80"/>
      <c r="N97" s="399">
        <f>SUM(N98:N168)</f>
        <v>0</v>
      </c>
      <c r="O97" s="399">
        <f>SUM(O98:O168)</f>
        <v>0</v>
      </c>
      <c r="P97" s="80"/>
      <c r="Q97" s="399">
        <f>SUM(Q98:Q168)</f>
        <v>0</v>
      </c>
    </row>
    <row r="98" spans="1:17" ht="16.5">
      <c r="A98" s="428"/>
      <c r="C98" s="56">
        <v>1</v>
      </c>
      <c r="D98" s="595" t="s">
        <v>755</v>
      </c>
      <c r="E98" s="80"/>
      <c r="F98" s="80" t="s">
        <v>704</v>
      </c>
      <c r="G98" s="80">
        <v>2</v>
      </c>
      <c r="H98" s="80">
        <v>2013</v>
      </c>
      <c r="I98" s="81">
        <f>105*G98</f>
        <v>210</v>
      </c>
      <c r="J98" s="80">
        <f aca="true" t="shared" si="17" ref="J98:J161">IF(($J$14-H98)*J$97&gt;100,100,($J$14-H98)*J$97)</f>
        <v>100</v>
      </c>
      <c r="K98" s="80">
        <f>IF(J98=100,0,I98-I98*J98%)</f>
        <v>0</v>
      </c>
      <c r="L98" s="80"/>
      <c r="M98" s="80"/>
      <c r="N98" s="58">
        <f>+L98*M98</f>
        <v>0</v>
      </c>
      <c r="O98" s="80"/>
      <c r="P98" s="80"/>
      <c r="Q98" s="58">
        <f>+O98*P98</f>
        <v>0</v>
      </c>
    </row>
    <row r="99" spans="1:17" ht="16.5">
      <c r="A99" s="601"/>
      <c r="C99" s="56">
        <f>C98+1</f>
        <v>2</v>
      </c>
      <c r="D99" s="595" t="s">
        <v>756</v>
      </c>
      <c r="E99" s="80"/>
      <c r="F99" s="80" t="s">
        <v>704</v>
      </c>
      <c r="G99" s="80">
        <v>16</v>
      </c>
      <c r="H99" s="80">
        <v>2013</v>
      </c>
      <c r="I99" s="81">
        <f>70*G99</f>
        <v>1120</v>
      </c>
      <c r="J99" s="80">
        <f t="shared" si="17"/>
        <v>100</v>
      </c>
      <c r="K99" s="80">
        <f aca="true" t="shared" si="18" ref="K99:K162">IF(J99=100,0,I99-I99*J99%)</f>
        <v>0</v>
      </c>
      <c r="L99" s="80"/>
      <c r="M99" s="80"/>
      <c r="N99" s="58">
        <f aca="true" t="shared" si="19" ref="N99:N162">+L99*M99</f>
        <v>0</v>
      </c>
      <c r="O99" s="80"/>
      <c r="P99" s="80"/>
      <c r="Q99" s="58">
        <f aca="true" t="shared" si="20" ref="Q99:Q162">+O99*P99</f>
        <v>0</v>
      </c>
    </row>
    <row r="100" spans="1:17" ht="16.5">
      <c r="A100" s="601"/>
      <c r="C100" s="56">
        <f aca="true" t="shared" si="21" ref="C100:C163">C99+1</f>
        <v>3</v>
      </c>
      <c r="D100" s="595" t="s">
        <v>757</v>
      </c>
      <c r="E100" s="80"/>
      <c r="F100" s="80" t="s">
        <v>704</v>
      </c>
      <c r="G100" s="80">
        <v>21</v>
      </c>
      <c r="H100" s="80">
        <v>2009</v>
      </c>
      <c r="I100" s="81">
        <f>13*G100</f>
        <v>273</v>
      </c>
      <c r="J100" s="80">
        <f t="shared" si="17"/>
        <v>100</v>
      </c>
      <c r="K100" s="80">
        <f t="shared" si="18"/>
        <v>0</v>
      </c>
      <c r="L100" s="80"/>
      <c r="M100" s="80"/>
      <c r="N100" s="58">
        <f t="shared" si="19"/>
        <v>0</v>
      </c>
      <c r="O100" s="80"/>
      <c r="P100" s="80"/>
      <c r="Q100" s="58">
        <f t="shared" si="20"/>
        <v>0</v>
      </c>
    </row>
    <row r="101" spans="1:17" ht="16.5">
      <c r="A101" s="601"/>
      <c r="C101" s="56">
        <f t="shared" si="21"/>
        <v>4</v>
      </c>
      <c r="D101" s="595" t="s">
        <v>758</v>
      </c>
      <c r="E101" s="80"/>
      <c r="F101" s="80" t="s">
        <v>704</v>
      </c>
      <c r="G101" s="80">
        <v>24</v>
      </c>
      <c r="H101" s="80">
        <v>2013</v>
      </c>
      <c r="I101" s="81">
        <f>10*G101</f>
        <v>240</v>
      </c>
      <c r="J101" s="80">
        <f t="shared" si="17"/>
        <v>100</v>
      </c>
      <c r="K101" s="80">
        <f t="shared" si="18"/>
        <v>0</v>
      </c>
      <c r="L101" s="80"/>
      <c r="M101" s="80"/>
      <c r="N101" s="58">
        <f t="shared" si="19"/>
        <v>0</v>
      </c>
      <c r="O101" s="80"/>
      <c r="P101" s="80"/>
      <c r="Q101" s="58">
        <f t="shared" si="20"/>
        <v>0</v>
      </c>
    </row>
    <row r="102" spans="1:17" ht="16.5">
      <c r="A102" s="601"/>
      <c r="C102" s="56">
        <f t="shared" si="21"/>
        <v>5</v>
      </c>
      <c r="D102" s="595" t="s">
        <v>759</v>
      </c>
      <c r="E102" s="80"/>
      <c r="F102" s="80" t="s">
        <v>704</v>
      </c>
      <c r="G102" s="80">
        <v>3</v>
      </c>
      <c r="H102" s="80">
        <v>1995</v>
      </c>
      <c r="I102" s="80">
        <f>51.2*G102</f>
        <v>153.60000000000002</v>
      </c>
      <c r="J102" s="80">
        <f t="shared" si="17"/>
        <v>100</v>
      </c>
      <c r="K102" s="80">
        <f t="shared" si="18"/>
        <v>0</v>
      </c>
      <c r="L102" s="80"/>
      <c r="M102" s="80"/>
      <c r="N102" s="58">
        <f t="shared" si="19"/>
        <v>0</v>
      </c>
      <c r="O102" s="80"/>
      <c r="P102" s="80"/>
      <c r="Q102" s="58">
        <f t="shared" si="20"/>
        <v>0</v>
      </c>
    </row>
    <row r="103" spans="1:17" ht="16.5">
      <c r="A103" s="601"/>
      <c r="C103" s="56">
        <f t="shared" si="21"/>
        <v>6</v>
      </c>
      <c r="D103" s="595" t="s">
        <v>760</v>
      </c>
      <c r="E103" s="80"/>
      <c r="F103" s="80" t="s">
        <v>704</v>
      </c>
      <c r="G103" s="80">
        <v>30</v>
      </c>
      <c r="H103" s="80">
        <v>2013</v>
      </c>
      <c r="I103" s="81">
        <f>39.2*G103</f>
        <v>1176</v>
      </c>
      <c r="J103" s="80">
        <f t="shared" si="17"/>
        <v>100</v>
      </c>
      <c r="K103" s="80">
        <f t="shared" si="18"/>
        <v>0</v>
      </c>
      <c r="L103" s="80"/>
      <c r="M103" s="80"/>
      <c r="N103" s="58">
        <f t="shared" si="19"/>
        <v>0</v>
      </c>
      <c r="O103" s="80"/>
      <c r="P103" s="80"/>
      <c r="Q103" s="58">
        <f t="shared" si="20"/>
        <v>0</v>
      </c>
    </row>
    <row r="104" spans="1:17" ht="16.5">
      <c r="A104" s="601"/>
      <c r="C104" s="56">
        <f t="shared" si="21"/>
        <v>7</v>
      </c>
      <c r="D104" s="595" t="s">
        <v>760</v>
      </c>
      <c r="E104" s="80"/>
      <c r="F104" s="80" t="s">
        <v>704</v>
      </c>
      <c r="G104" s="80">
        <v>5</v>
      </c>
      <c r="H104" s="80">
        <v>2013</v>
      </c>
      <c r="I104" s="80">
        <f>87.5*G104</f>
        <v>437.5</v>
      </c>
      <c r="J104" s="80">
        <f t="shared" si="17"/>
        <v>100</v>
      </c>
      <c r="K104" s="80">
        <f t="shared" si="18"/>
        <v>0</v>
      </c>
      <c r="L104" s="80"/>
      <c r="M104" s="80"/>
      <c r="N104" s="58">
        <f t="shared" si="19"/>
        <v>0</v>
      </c>
      <c r="O104" s="80"/>
      <c r="P104" s="80"/>
      <c r="Q104" s="58">
        <f t="shared" si="20"/>
        <v>0</v>
      </c>
    </row>
    <row r="105" spans="1:17" ht="16.5">
      <c r="A105" s="601"/>
      <c r="C105" s="56">
        <f t="shared" si="21"/>
        <v>8</v>
      </c>
      <c r="D105" s="595" t="s">
        <v>761</v>
      </c>
      <c r="E105" s="80"/>
      <c r="F105" s="80" t="s">
        <v>704</v>
      </c>
      <c r="G105" s="80">
        <v>1</v>
      </c>
      <c r="H105" s="80">
        <v>2001</v>
      </c>
      <c r="I105" s="80">
        <v>193.5</v>
      </c>
      <c r="J105" s="80">
        <f t="shared" si="17"/>
        <v>100</v>
      </c>
      <c r="K105" s="80">
        <f t="shared" si="18"/>
        <v>0</v>
      </c>
      <c r="L105" s="80"/>
      <c r="M105" s="80"/>
      <c r="N105" s="58">
        <f t="shared" si="19"/>
        <v>0</v>
      </c>
      <c r="O105" s="80"/>
      <c r="P105" s="80"/>
      <c r="Q105" s="58">
        <f t="shared" si="20"/>
        <v>0</v>
      </c>
    </row>
    <row r="106" spans="1:17" ht="16.5">
      <c r="A106" s="601"/>
      <c r="C106" s="56">
        <f t="shared" si="21"/>
        <v>9</v>
      </c>
      <c r="D106" s="595" t="s">
        <v>762</v>
      </c>
      <c r="E106" s="80"/>
      <c r="F106" s="80" t="s">
        <v>704</v>
      </c>
      <c r="G106" s="80">
        <v>1</v>
      </c>
      <c r="H106" s="80">
        <v>2013</v>
      </c>
      <c r="I106" s="81">
        <v>47</v>
      </c>
      <c r="J106" s="80">
        <f t="shared" si="17"/>
        <v>100</v>
      </c>
      <c r="K106" s="80">
        <f t="shared" si="18"/>
        <v>0</v>
      </c>
      <c r="L106" s="80"/>
      <c r="M106" s="80"/>
      <c r="N106" s="58">
        <f t="shared" si="19"/>
        <v>0</v>
      </c>
      <c r="O106" s="80"/>
      <c r="P106" s="80"/>
      <c r="Q106" s="58">
        <f t="shared" si="20"/>
        <v>0</v>
      </c>
    </row>
    <row r="107" spans="1:17" ht="16.5">
      <c r="A107" s="601"/>
      <c r="C107" s="56">
        <f t="shared" si="21"/>
        <v>10</v>
      </c>
      <c r="D107" s="595" t="s">
        <v>763</v>
      </c>
      <c r="E107" s="80"/>
      <c r="F107" s="80" t="s">
        <v>704</v>
      </c>
      <c r="G107" s="80">
        <v>8</v>
      </c>
      <c r="H107" s="80">
        <v>1999</v>
      </c>
      <c r="I107" s="80">
        <f>45.8*G107</f>
        <v>366.4</v>
      </c>
      <c r="J107" s="80">
        <f t="shared" si="17"/>
        <v>100</v>
      </c>
      <c r="K107" s="80">
        <f t="shared" si="18"/>
        <v>0</v>
      </c>
      <c r="L107" s="80"/>
      <c r="M107" s="80"/>
      <c r="N107" s="58">
        <f t="shared" si="19"/>
        <v>0</v>
      </c>
      <c r="O107" s="80"/>
      <c r="P107" s="80"/>
      <c r="Q107" s="58">
        <f t="shared" si="20"/>
        <v>0</v>
      </c>
    </row>
    <row r="108" spans="1:17" ht="16.5">
      <c r="A108" s="601"/>
      <c r="C108" s="56">
        <f t="shared" si="21"/>
        <v>11</v>
      </c>
      <c r="D108" s="595" t="s">
        <v>764</v>
      </c>
      <c r="E108" s="80"/>
      <c r="F108" s="80" t="s">
        <v>704</v>
      </c>
      <c r="G108" s="80">
        <v>11</v>
      </c>
      <c r="H108" s="80">
        <v>1996</v>
      </c>
      <c r="I108" s="80">
        <f>44.1*G108</f>
        <v>485.1</v>
      </c>
      <c r="J108" s="80">
        <f t="shared" si="17"/>
        <v>100</v>
      </c>
      <c r="K108" s="80">
        <f t="shared" si="18"/>
        <v>0</v>
      </c>
      <c r="L108" s="80"/>
      <c r="M108" s="80"/>
      <c r="N108" s="58">
        <f t="shared" si="19"/>
        <v>0</v>
      </c>
      <c r="O108" s="80"/>
      <c r="P108" s="80"/>
      <c r="Q108" s="58">
        <f t="shared" si="20"/>
        <v>0</v>
      </c>
    </row>
    <row r="109" spans="1:17" ht="16.5">
      <c r="A109" s="601"/>
      <c r="C109" s="56">
        <f t="shared" si="21"/>
        <v>12</v>
      </c>
      <c r="D109" s="595" t="s">
        <v>765</v>
      </c>
      <c r="E109" s="80"/>
      <c r="F109" s="80" t="s">
        <v>704</v>
      </c>
      <c r="G109" s="80">
        <v>10</v>
      </c>
      <c r="H109" s="80">
        <v>2009</v>
      </c>
      <c r="I109" s="605">
        <f>45*G109</f>
        <v>450</v>
      </c>
      <c r="J109" s="80">
        <f t="shared" si="17"/>
        <v>100</v>
      </c>
      <c r="K109" s="80">
        <f t="shared" si="18"/>
        <v>0</v>
      </c>
      <c r="L109" s="80"/>
      <c r="M109" s="80"/>
      <c r="N109" s="58">
        <f t="shared" si="19"/>
        <v>0</v>
      </c>
      <c r="O109" s="80"/>
      <c r="P109" s="80"/>
      <c r="Q109" s="58">
        <f t="shared" si="20"/>
        <v>0</v>
      </c>
    </row>
    <row r="110" spans="1:17" ht="16.5">
      <c r="A110" s="601"/>
      <c r="C110" s="56">
        <f t="shared" si="21"/>
        <v>13</v>
      </c>
      <c r="D110" s="595" t="s">
        <v>766</v>
      </c>
      <c r="E110" s="80"/>
      <c r="F110" s="80" t="s">
        <v>704</v>
      </c>
      <c r="G110" s="80">
        <v>6</v>
      </c>
      <c r="H110" s="80">
        <v>2001</v>
      </c>
      <c r="I110" s="80">
        <f>51.2*G110</f>
        <v>307.20000000000005</v>
      </c>
      <c r="J110" s="80">
        <f t="shared" si="17"/>
        <v>100</v>
      </c>
      <c r="K110" s="80">
        <f t="shared" si="18"/>
        <v>0</v>
      </c>
      <c r="L110" s="80"/>
      <c r="M110" s="80"/>
      <c r="N110" s="58">
        <f t="shared" si="19"/>
        <v>0</v>
      </c>
      <c r="O110" s="80"/>
      <c r="P110" s="80"/>
      <c r="Q110" s="58">
        <f t="shared" si="20"/>
        <v>0</v>
      </c>
    </row>
    <row r="111" spans="1:17" ht="16.5">
      <c r="A111" s="601"/>
      <c r="C111" s="56">
        <f t="shared" si="21"/>
        <v>14</v>
      </c>
      <c r="D111" s="595" t="s">
        <v>767</v>
      </c>
      <c r="E111" s="80"/>
      <c r="F111" s="80" t="s">
        <v>704</v>
      </c>
      <c r="G111" s="80">
        <v>24</v>
      </c>
      <c r="H111" s="80">
        <v>1999</v>
      </c>
      <c r="I111" s="80">
        <f>74.1*G111</f>
        <v>1778.3999999999999</v>
      </c>
      <c r="J111" s="80">
        <f t="shared" si="17"/>
        <v>100</v>
      </c>
      <c r="K111" s="80">
        <f t="shared" si="18"/>
        <v>0</v>
      </c>
      <c r="L111" s="80"/>
      <c r="M111" s="80"/>
      <c r="N111" s="58">
        <f t="shared" si="19"/>
        <v>0</v>
      </c>
      <c r="O111" s="80"/>
      <c r="P111" s="80"/>
      <c r="Q111" s="58">
        <f t="shared" si="20"/>
        <v>0</v>
      </c>
    </row>
    <row r="112" spans="1:17" ht="16.5">
      <c r="A112" s="601"/>
      <c r="C112" s="56">
        <f t="shared" si="21"/>
        <v>15</v>
      </c>
      <c r="D112" s="595" t="s">
        <v>767</v>
      </c>
      <c r="E112" s="80"/>
      <c r="F112" s="80" t="s">
        <v>704</v>
      </c>
      <c r="G112" s="80">
        <v>1</v>
      </c>
      <c r="H112" s="80">
        <v>2013</v>
      </c>
      <c r="I112" s="81">
        <f>109*G112</f>
        <v>109</v>
      </c>
      <c r="J112" s="80">
        <f t="shared" si="17"/>
        <v>100</v>
      </c>
      <c r="K112" s="80">
        <f t="shared" si="18"/>
        <v>0</v>
      </c>
      <c r="L112" s="80"/>
      <c r="M112" s="80"/>
      <c r="N112" s="58">
        <f t="shared" si="19"/>
        <v>0</v>
      </c>
      <c r="O112" s="80"/>
      <c r="P112" s="80"/>
      <c r="Q112" s="58">
        <f t="shared" si="20"/>
        <v>0</v>
      </c>
    </row>
    <row r="113" spans="1:17" ht="16.5">
      <c r="A113" s="601"/>
      <c r="C113" s="56">
        <f t="shared" si="21"/>
        <v>16</v>
      </c>
      <c r="D113" s="595" t="s">
        <v>766</v>
      </c>
      <c r="E113" s="80"/>
      <c r="F113" s="80" t="s">
        <v>704</v>
      </c>
      <c r="G113" s="80">
        <v>2</v>
      </c>
      <c r="H113" s="80">
        <v>2013</v>
      </c>
      <c r="I113" s="81">
        <f>96*G113</f>
        <v>192</v>
      </c>
      <c r="J113" s="80">
        <f t="shared" si="17"/>
        <v>100</v>
      </c>
      <c r="K113" s="80">
        <f t="shared" si="18"/>
        <v>0</v>
      </c>
      <c r="L113" s="80"/>
      <c r="M113" s="80"/>
      <c r="N113" s="58">
        <f t="shared" si="19"/>
        <v>0</v>
      </c>
      <c r="O113" s="80"/>
      <c r="P113" s="80"/>
      <c r="Q113" s="58">
        <f t="shared" si="20"/>
        <v>0</v>
      </c>
    </row>
    <row r="114" spans="1:17" ht="16.5">
      <c r="A114" s="601"/>
      <c r="C114" s="56">
        <f t="shared" si="21"/>
        <v>17</v>
      </c>
      <c r="D114" s="595" t="s">
        <v>768</v>
      </c>
      <c r="E114" s="80"/>
      <c r="F114" s="80" t="s">
        <v>704</v>
      </c>
      <c r="G114" s="80">
        <v>30</v>
      </c>
      <c r="H114" s="80">
        <v>2013</v>
      </c>
      <c r="I114" s="81">
        <f>80*G114</f>
        <v>2400</v>
      </c>
      <c r="J114" s="80">
        <f t="shared" si="17"/>
        <v>100</v>
      </c>
      <c r="K114" s="80">
        <f t="shared" si="18"/>
        <v>0</v>
      </c>
      <c r="L114" s="80"/>
      <c r="M114" s="80"/>
      <c r="N114" s="58">
        <f t="shared" si="19"/>
        <v>0</v>
      </c>
      <c r="O114" s="80"/>
      <c r="P114" s="80"/>
      <c r="Q114" s="58">
        <f t="shared" si="20"/>
        <v>0</v>
      </c>
    </row>
    <row r="115" spans="1:17" ht="16.5">
      <c r="A115" s="601"/>
      <c r="C115" s="56">
        <f t="shared" si="21"/>
        <v>18</v>
      </c>
      <c r="D115" s="595" t="s">
        <v>769</v>
      </c>
      <c r="E115" s="80"/>
      <c r="F115" s="80" t="s">
        <v>704</v>
      </c>
      <c r="G115" s="80">
        <v>9</v>
      </c>
      <c r="H115" s="80">
        <v>2013</v>
      </c>
      <c r="I115" s="81">
        <f>45*G115</f>
        <v>405</v>
      </c>
      <c r="J115" s="80">
        <f t="shared" si="17"/>
        <v>100</v>
      </c>
      <c r="K115" s="80">
        <f t="shared" si="18"/>
        <v>0</v>
      </c>
      <c r="L115" s="80"/>
      <c r="M115" s="80"/>
      <c r="N115" s="58">
        <f t="shared" si="19"/>
        <v>0</v>
      </c>
      <c r="O115" s="80"/>
      <c r="P115" s="80"/>
      <c r="Q115" s="58">
        <f t="shared" si="20"/>
        <v>0</v>
      </c>
    </row>
    <row r="116" spans="1:17" ht="16.5">
      <c r="A116" s="601"/>
      <c r="C116" s="56">
        <f t="shared" si="21"/>
        <v>19</v>
      </c>
      <c r="D116" s="595" t="s">
        <v>770</v>
      </c>
      <c r="E116" s="80"/>
      <c r="F116" s="80" t="s">
        <v>704</v>
      </c>
      <c r="G116" s="80">
        <v>3</v>
      </c>
      <c r="H116" s="80">
        <v>2013</v>
      </c>
      <c r="I116" s="81">
        <f>96*G116</f>
        <v>288</v>
      </c>
      <c r="J116" s="80">
        <f t="shared" si="17"/>
        <v>100</v>
      </c>
      <c r="K116" s="80">
        <f t="shared" si="18"/>
        <v>0</v>
      </c>
      <c r="L116" s="80"/>
      <c r="M116" s="80"/>
      <c r="N116" s="58">
        <f t="shared" si="19"/>
        <v>0</v>
      </c>
      <c r="O116" s="80"/>
      <c r="P116" s="80"/>
      <c r="Q116" s="58">
        <f t="shared" si="20"/>
        <v>0</v>
      </c>
    </row>
    <row r="117" spans="1:17" ht="16.5">
      <c r="A117" s="601"/>
      <c r="C117" s="56">
        <f t="shared" si="21"/>
        <v>20</v>
      </c>
      <c r="D117" s="595" t="s">
        <v>771</v>
      </c>
      <c r="E117" s="80"/>
      <c r="F117" s="80" t="s">
        <v>704</v>
      </c>
      <c r="G117" s="80">
        <v>5</v>
      </c>
      <c r="H117" s="80">
        <v>2013</v>
      </c>
      <c r="I117" s="81">
        <f>142*G117</f>
        <v>710</v>
      </c>
      <c r="J117" s="80">
        <f t="shared" si="17"/>
        <v>100</v>
      </c>
      <c r="K117" s="80">
        <f t="shared" si="18"/>
        <v>0</v>
      </c>
      <c r="L117" s="80"/>
      <c r="M117" s="80"/>
      <c r="N117" s="58">
        <f t="shared" si="19"/>
        <v>0</v>
      </c>
      <c r="O117" s="80"/>
      <c r="P117" s="80"/>
      <c r="Q117" s="58">
        <f t="shared" si="20"/>
        <v>0</v>
      </c>
    </row>
    <row r="118" spans="1:17" ht="16.5">
      <c r="A118" s="601"/>
      <c r="C118" s="56">
        <f t="shared" si="21"/>
        <v>21</v>
      </c>
      <c r="D118" s="595" t="s">
        <v>772</v>
      </c>
      <c r="E118" s="80"/>
      <c r="F118" s="80" t="s">
        <v>704</v>
      </c>
      <c r="G118" s="80">
        <v>1</v>
      </c>
      <c r="H118" s="80">
        <v>2013</v>
      </c>
      <c r="I118" s="81">
        <f>175*G118</f>
        <v>175</v>
      </c>
      <c r="J118" s="80">
        <f t="shared" si="17"/>
        <v>100</v>
      </c>
      <c r="K118" s="80">
        <f t="shared" si="18"/>
        <v>0</v>
      </c>
      <c r="L118" s="80"/>
      <c r="M118" s="80"/>
      <c r="N118" s="58">
        <f t="shared" si="19"/>
        <v>0</v>
      </c>
      <c r="O118" s="80"/>
      <c r="P118" s="80"/>
      <c r="Q118" s="58">
        <f t="shared" si="20"/>
        <v>0</v>
      </c>
    </row>
    <row r="119" spans="1:17" ht="16.5">
      <c r="A119" s="601"/>
      <c r="C119" s="56">
        <f t="shared" si="21"/>
        <v>22</v>
      </c>
      <c r="D119" s="595" t="s">
        <v>773</v>
      </c>
      <c r="E119" s="80"/>
      <c r="F119" s="80" t="s">
        <v>704</v>
      </c>
      <c r="G119" s="80">
        <v>3</v>
      </c>
      <c r="H119" s="80">
        <v>2013</v>
      </c>
      <c r="I119" s="80">
        <f>108.5*G119</f>
        <v>325.5</v>
      </c>
      <c r="J119" s="80">
        <f t="shared" si="17"/>
        <v>100</v>
      </c>
      <c r="K119" s="80">
        <f t="shared" si="18"/>
        <v>0</v>
      </c>
      <c r="L119" s="80"/>
      <c r="M119" s="80"/>
      <c r="N119" s="58">
        <f t="shared" si="19"/>
        <v>0</v>
      </c>
      <c r="O119" s="80"/>
      <c r="P119" s="80"/>
      <c r="Q119" s="58">
        <f t="shared" si="20"/>
        <v>0</v>
      </c>
    </row>
    <row r="120" spans="1:17" ht="16.5">
      <c r="A120" s="601"/>
      <c r="C120" s="56">
        <f t="shared" si="21"/>
        <v>23</v>
      </c>
      <c r="D120" s="595" t="s">
        <v>774</v>
      </c>
      <c r="E120" s="80"/>
      <c r="F120" s="80" t="s">
        <v>704</v>
      </c>
      <c r="G120" s="80">
        <v>8</v>
      </c>
      <c r="H120" s="80">
        <v>2013</v>
      </c>
      <c r="I120" s="81">
        <f>10*G120</f>
        <v>80</v>
      </c>
      <c r="J120" s="80">
        <f t="shared" si="17"/>
        <v>100</v>
      </c>
      <c r="K120" s="80">
        <f t="shared" si="18"/>
        <v>0</v>
      </c>
      <c r="L120" s="80"/>
      <c r="M120" s="80"/>
      <c r="N120" s="58">
        <f t="shared" si="19"/>
        <v>0</v>
      </c>
      <c r="O120" s="80"/>
      <c r="P120" s="80"/>
      <c r="Q120" s="58">
        <f t="shared" si="20"/>
        <v>0</v>
      </c>
    </row>
    <row r="121" spans="1:17" ht="16.5">
      <c r="A121" s="601"/>
      <c r="C121" s="56">
        <f t="shared" si="21"/>
        <v>24</v>
      </c>
      <c r="D121" s="595" t="s">
        <v>775</v>
      </c>
      <c r="E121" s="80"/>
      <c r="F121" s="80" t="s">
        <v>704</v>
      </c>
      <c r="G121" s="80">
        <v>3</v>
      </c>
      <c r="H121" s="80">
        <v>2016</v>
      </c>
      <c r="I121" s="81">
        <f>18*G121</f>
        <v>54</v>
      </c>
      <c r="J121" s="80">
        <f t="shared" si="17"/>
        <v>80</v>
      </c>
      <c r="K121" s="80">
        <f t="shared" si="18"/>
        <v>10.799999999999997</v>
      </c>
      <c r="L121" s="80"/>
      <c r="M121" s="80"/>
      <c r="N121" s="58">
        <f t="shared" si="19"/>
        <v>0</v>
      </c>
      <c r="O121" s="80"/>
      <c r="P121" s="80"/>
      <c r="Q121" s="58">
        <f t="shared" si="20"/>
        <v>0</v>
      </c>
    </row>
    <row r="122" spans="1:17" ht="16.5">
      <c r="A122" s="601"/>
      <c r="C122" s="56">
        <f t="shared" si="21"/>
        <v>25</v>
      </c>
      <c r="D122" s="595" t="s">
        <v>776</v>
      </c>
      <c r="E122" s="80"/>
      <c r="F122" s="80" t="s">
        <v>704</v>
      </c>
      <c r="G122" s="80">
        <v>3</v>
      </c>
      <c r="H122" s="80">
        <v>1998</v>
      </c>
      <c r="I122" s="80">
        <f>26.6*G122</f>
        <v>79.80000000000001</v>
      </c>
      <c r="J122" s="80">
        <f t="shared" si="17"/>
        <v>100</v>
      </c>
      <c r="K122" s="80">
        <f t="shared" si="18"/>
        <v>0</v>
      </c>
      <c r="L122" s="80"/>
      <c r="M122" s="80"/>
      <c r="N122" s="58">
        <f t="shared" si="19"/>
        <v>0</v>
      </c>
      <c r="O122" s="80"/>
      <c r="P122" s="80"/>
      <c r="Q122" s="58">
        <f t="shared" si="20"/>
        <v>0</v>
      </c>
    </row>
    <row r="123" spans="1:17" ht="16.5">
      <c r="A123" s="601"/>
      <c r="C123" s="56">
        <f t="shared" si="21"/>
        <v>26</v>
      </c>
      <c r="D123" s="595" t="s">
        <v>777</v>
      </c>
      <c r="E123" s="80"/>
      <c r="F123" s="80" t="s">
        <v>704</v>
      </c>
      <c r="G123" s="80">
        <v>12</v>
      </c>
      <c r="H123" s="80">
        <v>1994</v>
      </c>
      <c r="I123" s="80">
        <f>26.8*G123</f>
        <v>321.6</v>
      </c>
      <c r="J123" s="80">
        <f t="shared" si="17"/>
        <v>100</v>
      </c>
      <c r="K123" s="80">
        <f t="shared" si="18"/>
        <v>0</v>
      </c>
      <c r="L123" s="80"/>
      <c r="M123" s="80"/>
      <c r="N123" s="58">
        <f t="shared" si="19"/>
        <v>0</v>
      </c>
      <c r="O123" s="80"/>
      <c r="P123" s="80"/>
      <c r="Q123" s="58">
        <f t="shared" si="20"/>
        <v>0</v>
      </c>
    </row>
    <row r="124" spans="1:17" ht="16.5">
      <c r="A124" s="601"/>
      <c r="C124" s="56">
        <f t="shared" si="21"/>
        <v>27</v>
      </c>
      <c r="D124" s="595" t="s">
        <v>778</v>
      </c>
      <c r="E124" s="80"/>
      <c r="F124" s="80" t="s">
        <v>704</v>
      </c>
      <c r="G124" s="80">
        <v>1</v>
      </c>
      <c r="H124" s="80">
        <v>1997</v>
      </c>
      <c r="I124" s="80">
        <f>28.5*G124</f>
        <v>28.5</v>
      </c>
      <c r="J124" s="80">
        <f t="shared" si="17"/>
        <v>100</v>
      </c>
      <c r="K124" s="80">
        <f t="shared" si="18"/>
        <v>0</v>
      </c>
      <c r="L124" s="80"/>
      <c r="M124" s="80"/>
      <c r="N124" s="58">
        <f t="shared" si="19"/>
        <v>0</v>
      </c>
      <c r="O124" s="80"/>
      <c r="P124" s="80"/>
      <c r="Q124" s="58">
        <f t="shared" si="20"/>
        <v>0</v>
      </c>
    </row>
    <row r="125" spans="1:17" ht="16.5">
      <c r="A125" s="601"/>
      <c r="C125" s="56">
        <f t="shared" si="21"/>
        <v>28</v>
      </c>
      <c r="D125" s="595" t="s">
        <v>778</v>
      </c>
      <c r="E125" s="80"/>
      <c r="F125" s="80" t="s">
        <v>704</v>
      </c>
      <c r="G125" s="80">
        <v>1</v>
      </c>
      <c r="H125" s="80">
        <v>1997</v>
      </c>
      <c r="I125" s="80">
        <f>31.6*G125</f>
        <v>31.6</v>
      </c>
      <c r="J125" s="80">
        <f t="shared" si="17"/>
        <v>100</v>
      </c>
      <c r="K125" s="80">
        <f t="shared" si="18"/>
        <v>0</v>
      </c>
      <c r="L125" s="80"/>
      <c r="M125" s="80"/>
      <c r="N125" s="58">
        <f t="shared" si="19"/>
        <v>0</v>
      </c>
      <c r="O125" s="80"/>
      <c r="P125" s="80"/>
      <c r="Q125" s="58">
        <f t="shared" si="20"/>
        <v>0</v>
      </c>
    </row>
    <row r="126" spans="1:17" ht="16.5">
      <c r="A126" s="601"/>
      <c r="C126" s="56">
        <f t="shared" si="21"/>
        <v>29</v>
      </c>
      <c r="D126" s="595" t="s">
        <v>779</v>
      </c>
      <c r="E126" s="80"/>
      <c r="F126" s="80" t="s">
        <v>704</v>
      </c>
      <c r="G126" s="80">
        <v>9</v>
      </c>
      <c r="H126" s="80">
        <v>1995</v>
      </c>
      <c r="I126" s="81">
        <f>35*G126</f>
        <v>315</v>
      </c>
      <c r="J126" s="80">
        <f t="shared" si="17"/>
        <v>100</v>
      </c>
      <c r="K126" s="80">
        <f t="shared" si="18"/>
        <v>0</v>
      </c>
      <c r="L126" s="80"/>
      <c r="M126" s="80"/>
      <c r="N126" s="58">
        <f t="shared" si="19"/>
        <v>0</v>
      </c>
      <c r="O126" s="80"/>
      <c r="P126" s="80"/>
      <c r="Q126" s="58">
        <f t="shared" si="20"/>
        <v>0</v>
      </c>
    </row>
    <row r="127" spans="1:17" ht="16.5">
      <c r="A127" s="601"/>
      <c r="C127" s="56">
        <f t="shared" si="21"/>
        <v>30</v>
      </c>
      <c r="D127" s="595" t="s">
        <v>780</v>
      </c>
      <c r="E127" s="80"/>
      <c r="F127" s="80" t="s">
        <v>704</v>
      </c>
      <c r="G127" s="80">
        <v>3</v>
      </c>
      <c r="H127" s="80">
        <v>1998</v>
      </c>
      <c r="I127" s="81">
        <f>36*G127</f>
        <v>108</v>
      </c>
      <c r="J127" s="80">
        <f t="shared" si="17"/>
        <v>100</v>
      </c>
      <c r="K127" s="80">
        <f t="shared" si="18"/>
        <v>0</v>
      </c>
      <c r="L127" s="80"/>
      <c r="M127" s="80"/>
      <c r="N127" s="58">
        <f t="shared" si="19"/>
        <v>0</v>
      </c>
      <c r="O127" s="80"/>
      <c r="P127" s="80"/>
      <c r="Q127" s="58">
        <f t="shared" si="20"/>
        <v>0</v>
      </c>
    </row>
    <row r="128" spans="1:17" ht="16.5">
      <c r="A128" s="601"/>
      <c r="C128" s="56">
        <f t="shared" si="21"/>
        <v>31</v>
      </c>
      <c r="D128" s="595" t="s">
        <v>781</v>
      </c>
      <c r="E128" s="80"/>
      <c r="F128" s="80" t="s">
        <v>704</v>
      </c>
      <c r="G128" s="80">
        <v>12</v>
      </c>
      <c r="H128" s="80">
        <v>2009</v>
      </c>
      <c r="I128" s="81">
        <f>38*G128</f>
        <v>456</v>
      </c>
      <c r="J128" s="80">
        <f t="shared" si="17"/>
        <v>100</v>
      </c>
      <c r="K128" s="80">
        <f t="shared" si="18"/>
        <v>0</v>
      </c>
      <c r="L128" s="80"/>
      <c r="M128" s="80"/>
      <c r="N128" s="58">
        <f t="shared" si="19"/>
        <v>0</v>
      </c>
      <c r="O128" s="80"/>
      <c r="P128" s="80"/>
      <c r="Q128" s="58">
        <f t="shared" si="20"/>
        <v>0</v>
      </c>
    </row>
    <row r="129" spans="1:17" ht="16.5">
      <c r="A129" s="601"/>
      <c r="C129" s="56">
        <f t="shared" si="21"/>
        <v>32</v>
      </c>
      <c r="D129" s="595" t="s">
        <v>782</v>
      </c>
      <c r="E129" s="80"/>
      <c r="F129" s="80" t="s">
        <v>704</v>
      </c>
      <c r="G129" s="80">
        <v>1</v>
      </c>
      <c r="H129" s="80">
        <v>1999</v>
      </c>
      <c r="I129" s="80">
        <f>44560*G129</f>
        <v>44560</v>
      </c>
      <c r="J129" s="80">
        <f t="shared" si="17"/>
        <v>100</v>
      </c>
      <c r="K129" s="80">
        <f t="shared" si="18"/>
        <v>0</v>
      </c>
      <c r="L129" s="80"/>
      <c r="M129" s="80"/>
      <c r="N129" s="58">
        <f t="shared" si="19"/>
        <v>0</v>
      </c>
      <c r="O129" s="80"/>
      <c r="P129" s="80"/>
      <c r="Q129" s="58">
        <f t="shared" si="20"/>
        <v>0</v>
      </c>
    </row>
    <row r="130" spans="1:17" ht="16.5">
      <c r="A130" s="601"/>
      <c r="C130" s="56">
        <f t="shared" si="21"/>
        <v>33</v>
      </c>
      <c r="D130" s="595" t="s">
        <v>783</v>
      </c>
      <c r="E130" s="80"/>
      <c r="F130" s="80" t="s">
        <v>704</v>
      </c>
      <c r="G130" s="80">
        <v>1</v>
      </c>
      <c r="H130" s="80">
        <v>2013</v>
      </c>
      <c r="I130" s="81">
        <f>45*G130</f>
        <v>45</v>
      </c>
      <c r="J130" s="80">
        <f t="shared" si="17"/>
        <v>100</v>
      </c>
      <c r="K130" s="80">
        <f t="shared" si="18"/>
        <v>0</v>
      </c>
      <c r="L130" s="80"/>
      <c r="M130" s="80"/>
      <c r="N130" s="58">
        <f t="shared" si="19"/>
        <v>0</v>
      </c>
      <c r="O130" s="80"/>
      <c r="P130" s="80"/>
      <c r="Q130" s="58">
        <f t="shared" si="20"/>
        <v>0</v>
      </c>
    </row>
    <row r="131" spans="1:17" ht="16.5">
      <c r="A131" s="601"/>
      <c r="C131" s="56">
        <f t="shared" si="21"/>
        <v>34</v>
      </c>
      <c r="D131" s="595" t="s">
        <v>784</v>
      </c>
      <c r="E131" s="80"/>
      <c r="F131" s="80" t="s">
        <v>704</v>
      </c>
      <c r="G131" s="80">
        <v>8</v>
      </c>
      <c r="H131" s="80">
        <v>2013</v>
      </c>
      <c r="I131" s="81">
        <f>45*G131</f>
        <v>360</v>
      </c>
      <c r="J131" s="80">
        <f t="shared" si="17"/>
        <v>100</v>
      </c>
      <c r="K131" s="80">
        <f t="shared" si="18"/>
        <v>0</v>
      </c>
      <c r="L131" s="80"/>
      <c r="M131" s="80"/>
      <c r="N131" s="58">
        <f t="shared" si="19"/>
        <v>0</v>
      </c>
      <c r="O131" s="80"/>
      <c r="P131" s="80"/>
      <c r="Q131" s="58">
        <f t="shared" si="20"/>
        <v>0</v>
      </c>
    </row>
    <row r="132" spans="1:17" ht="16.5">
      <c r="A132" s="601"/>
      <c r="C132" s="56">
        <f t="shared" si="21"/>
        <v>35</v>
      </c>
      <c r="D132" s="595" t="s">
        <v>785</v>
      </c>
      <c r="E132" s="80"/>
      <c r="F132" s="80" t="s">
        <v>704</v>
      </c>
      <c r="G132" s="80">
        <v>1</v>
      </c>
      <c r="H132" s="80">
        <v>2009</v>
      </c>
      <c r="I132" s="81">
        <f>45.68*G132</f>
        <v>45.68</v>
      </c>
      <c r="J132" s="80">
        <f t="shared" si="17"/>
        <v>100</v>
      </c>
      <c r="K132" s="80">
        <f t="shared" si="18"/>
        <v>0</v>
      </c>
      <c r="L132" s="80"/>
      <c r="M132" s="80"/>
      <c r="N132" s="58">
        <f t="shared" si="19"/>
        <v>0</v>
      </c>
      <c r="O132" s="80"/>
      <c r="P132" s="80"/>
      <c r="Q132" s="58">
        <f t="shared" si="20"/>
        <v>0</v>
      </c>
    </row>
    <row r="133" spans="1:17" ht="16.5">
      <c r="A133" s="601"/>
      <c r="C133" s="56">
        <f t="shared" si="21"/>
        <v>36</v>
      </c>
      <c r="D133" s="595" t="s">
        <v>786</v>
      </c>
      <c r="E133" s="80"/>
      <c r="F133" s="80" t="s">
        <v>704</v>
      </c>
      <c r="G133" s="80">
        <v>1</v>
      </c>
      <c r="H133" s="80">
        <v>2016</v>
      </c>
      <c r="I133" s="81">
        <f>47*G133</f>
        <v>47</v>
      </c>
      <c r="J133" s="80">
        <f t="shared" si="17"/>
        <v>80</v>
      </c>
      <c r="K133" s="80">
        <f t="shared" si="18"/>
        <v>9.399999999999999</v>
      </c>
      <c r="L133" s="80"/>
      <c r="M133" s="80"/>
      <c r="N133" s="58">
        <f t="shared" si="19"/>
        <v>0</v>
      </c>
      <c r="O133" s="80"/>
      <c r="P133" s="80"/>
      <c r="Q133" s="58">
        <f t="shared" si="20"/>
        <v>0</v>
      </c>
    </row>
    <row r="134" spans="1:17" ht="16.5">
      <c r="A134" s="601"/>
      <c r="C134" s="56">
        <f t="shared" si="21"/>
        <v>37</v>
      </c>
      <c r="D134" s="595" t="s">
        <v>774</v>
      </c>
      <c r="E134" s="80"/>
      <c r="F134" s="80" t="s">
        <v>704</v>
      </c>
      <c r="G134" s="80">
        <v>2</v>
      </c>
      <c r="H134" s="80">
        <v>2013</v>
      </c>
      <c r="I134" s="81">
        <f>49*G134</f>
        <v>98</v>
      </c>
      <c r="J134" s="80">
        <f t="shared" si="17"/>
        <v>100</v>
      </c>
      <c r="K134" s="80">
        <f t="shared" si="18"/>
        <v>0</v>
      </c>
      <c r="L134" s="80"/>
      <c r="M134" s="80"/>
      <c r="N134" s="58">
        <f t="shared" si="19"/>
        <v>0</v>
      </c>
      <c r="O134" s="80"/>
      <c r="P134" s="80"/>
      <c r="Q134" s="58">
        <f t="shared" si="20"/>
        <v>0</v>
      </c>
    </row>
    <row r="135" spans="1:17" ht="16.5">
      <c r="A135" s="601"/>
      <c r="C135" s="56">
        <f t="shared" si="21"/>
        <v>38</v>
      </c>
      <c r="D135" s="595" t="s">
        <v>787</v>
      </c>
      <c r="E135" s="80"/>
      <c r="F135" s="80" t="s">
        <v>704</v>
      </c>
      <c r="G135" s="80">
        <v>15</v>
      </c>
      <c r="H135" s="80">
        <v>2013</v>
      </c>
      <c r="I135" s="81">
        <f>55*G135</f>
        <v>825</v>
      </c>
      <c r="J135" s="80">
        <f t="shared" si="17"/>
        <v>100</v>
      </c>
      <c r="K135" s="80">
        <f t="shared" si="18"/>
        <v>0</v>
      </c>
      <c r="L135" s="80"/>
      <c r="M135" s="80"/>
      <c r="N135" s="58">
        <f t="shared" si="19"/>
        <v>0</v>
      </c>
      <c r="O135" s="80"/>
      <c r="P135" s="80"/>
      <c r="Q135" s="58">
        <f t="shared" si="20"/>
        <v>0</v>
      </c>
    </row>
    <row r="136" spans="1:17" ht="16.5">
      <c r="A136" s="601"/>
      <c r="C136" s="56">
        <f t="shared" si="21"/>
        <v>39</v>
      </c>
      <c r="D136" s="595" t="s">
        <v>788</v>
      </c>
      <c r="E136" s="80"/>
      <c r="F136" s="80" t="s">
        <v>704</v>
      </c>
      <c r="G136" s="80">
        <v>3</v>
      </c>
      <c r="H136" s="80">
        <v>1995</v>
      </c>
      <c r="I136" s="81">
        <f>58*G136</f>
        <v>174</v>
      </c>
      <c r="J136" s="80">
        <f t="shared" si="17"/>
        <v>100</v>
      </c>
      <c r="K136" s="80">
        <f t="shared" si="18"/>
        <v>0</v>
      </c>
      <c r="L136" s="80"/>
      <c r="M136" s="80"/>
      <c r="N136" s="58">
        <f t="shared" si="19"/>
        <v>0</v>
      </c>
      <c r="O136" s="80"/>
      <c r="P136" s="80"/>
      <c r="Q136" s="58">
        <f t="shared" si="20"/>
        <v>0</v>
      </c>
    </row>
    <row r="137" spans="1:17" ht="16.5">
      <c r="A137" s="601"/>
      <c r="C137" s="56">
        <f t="shared" si="21"/>
        <v>40</v>
      </c>
      <c r="D137" s="595" t="s">
        <v>789</v>
      </c>
      <c r="E137" s="80"/>
      <c r="F137" s="80" t="s">
        <v>704</v>
      </c>
      <c r="G137" s="80">
        <v>1</v>
      </c>
      <c r="H137" s="80">
        <v>2013</v>
      </c>
      <c r="I137" s="81">
        <f>59*G137</f>
        <v>59</v>
      </c>
      <c r="J137" s="80">
        <f t="shared" si="17"/>
        <v>100</v>
      </c>
      <c r="K137" s="80">
        <f t="shared" si="18"/>
        <v>0</v>
      </c>
      <c r="L137" s="80"/>
      <c r="M137" s="80"/>
      <c r="N137" s="58">
        <f t="shared" si="19"/>
        <v>0</v>
      </c>
      <c r="O137" s="80"/>
      <c r="P137" s="80"/>
      <c r="Q137" s="58">
        <f t="shared" si="20"/>
        <v>0</v>
      </c>
    </row>
    <row r="138" spans="1:17" ht="16.5">
      <c r="A138" s="601"/>
      <c r="C138" s="56">
        <f t="shared" si="21"/>
        <v>41</v>
      </c>
      <c r="D138" s="595" t="s">
        <v>790</v>
      </c>
      <c r="E138" s="80"/>
      <c r="F138" s="80" t="s">
        <v>704</v>
      </c>
      <c r="G138" s="80">
        <v>2</v>
      </c>
      <c r="H138" s="80">
        <v>2009</v>
      </c>
      <c r="I138" s="81">
        <f>70*G138</f>
        <v>140</v>
      </c>
      <c r="J138" s="80">
        <f t="shared" si="17"/>
        <v>100</v>
      </c>
      <c r="K138" s="80">
        <f t="shared" si="18"/>
        <v>0</v>
      </c>
      <c r="L138" s="80"/>
      <c r="M138" s="80"/>
      <c r="N138" s="58">
        <f t="shared" si="19"/>
        <v>0</v>
      </c>
      <c r="O138" s="80"/>
      <c r="P138" s="80"/>
      <c r="Q138" s="58">
        <f t="shared" si="20"/>
        <v>0</v>
      </c>
    </row>
    <row r="139" spans="1:17" ht="16.5">
      <c r="A139" s="601"/>
      <c r="C139" s="56">
        <f t="shared" si="21"/>
        <v>42</v>
      </c>
      <c r="D139" s="595" t="s">
        <v>791</v>
      </c>
      <c r="E139" s="80"/>
      <c r="F139" s="80" t="s">
        <v>704</v>
      </c>
      <c r="G139" s="80">
        <v>2</v>
      </c>
      <c r="H139" s="80">
        <v>1995</v>
      </c>
      <c r="I139" s="81">
        <f>80*G139</f>
        <v>160</v>
      </c>
      <c r="J139" s="80">
        <f t="shared" si="17"/>
        <v>100</v>
      </c>
      <c r="K139" s="80">
        <f t="shared" si="18"/>
        <v>0</v>
      </c>
      <c r="L139" s="80"/>
      <c r="M139" s="80"/>
      <c r="N139" s="58">
        <f t="shared" si="19"/>
        <v>0</v>
      </c>
      <c r="O139" s="80"/>
      <c r="P139" s="80"/>
      <c r="Q139" s="58">
        <f t="shared" si="20"/>
        <v>0</v>
      </c>
    </row>
    <row r="140" spans="1:17" ht="16.5">
      <c r="A140" s="601"/>
      <c r="C140" s="56">
        <f t="shared" si="21"/>
        <v>43</v>
      </c>
      <c r="D140" s="595" t="s">
        <v>784</v>
      </c>
      <c r="E140" s="80"/>
      <c r="F140" s="80" t="s">
        <v>704</v>
      </c>
      <c r="G140" s="80">
        <v>1</v>
      </c>
      <c r="H140" s="80">
        <v>2013</v>
      </c>
      <c r="I140" s="81">
        <f>65.6*G140</f>
        <v>65.6</v>
      </c>
      <c r="J140" s="80">
        <f t="shared" si="17"/>
        <v>100</v>
      </c>
      <c r="K140" s="80">
        <f t="shared" si="18"/>
        <v>0</v>
      </c>
      <c r="L140" s="80"/>
      <c r="M140" s="80"/>
      <c r="N140" s="58">
        <f t="shared" si="19"/>
        <v>0</v>
      </c>
      <c r="O140" s="80"/>
      <c r="P140" s="80"/>
      <c r="Q140" s="58">
        <f t="shared" si="20"/>
        <v>0</v>
      </c>
    </row>
    <row r="141" spans="1:17" ht="16.5">
      <c r="A141" s="601"/>
      <c r="C141" s="56">
        <f t="shared" si="21"/>
        <v>44</v>
      </c>
      <c r="D141" s="595" t="s">
        <v>792</v>
      </c>
      <c r="E141" s="80"/>
      <c r="F141" s="80" t="s">
        <v>704</v>
      </c>
      <c r="G141" s="80">
        <v>1</v>
      </c>
      <c r="H141" s="80">
        <v>2013</v>
      </c>
      <c r="I141" s="81">
        <f>85*G141</f>
        <v>85</v>
      </c>
      <c r="J141" s="80">
        <f t="shared" si="17"/>
        <v>100</v>
      </c>
      <c r="K141" s="80">
        <f t="shared" si="18"/>
        <v>0</v>
      </c>
      <c r="L141" s="80"/>
      <c r="M141" s="80"/>
      <c r="N141" s="58">
        <f t="shared" si="19"/>
        <v>0</v>
      </c>
      <c r="O141" s="80"/>
      <c r="P141" s="80"/>
      <c r="Q141" s="58">
        <f t="shared" si="20"/>
        <v>0</v>
      </c>
    </row>
    <row r="142" spans="1:17" ht="16.5">
      <c r="A142" s="601"/>
      <c r="C142" s="56">
        <f t="shared" si="21"/>
        <v>45</v>
      </c>
      <c r="D142" s="595" t="s">
        <v>793</v>
      </c>
      <c r="E142" s="80"/>
      <c r="F142" s="80" t="s">
        <v>704</v>
      </c>
      <c r="G142" s="80">
        <v>10</v>
      </c>
      <c r="H142" s="80">
        <v>2009</v>
      </c>
      <c r="I142" s="81">
        <f>85*G142</f>
        <v>850</v>
      </c>
      <c r="J142" s="80">
        <f t="shared" si="17"/>
        <v>100</v>
      </c>
      <c r="K142" s="80">
        <f t="shared" si="18"/>
        <v>0</v>
      </c>
      <c r="L142" s="80"/>
      <c r="M142" s="80"/>
      <c r="N142" s="58">
        <f t="shared" si="19"/>
        <v>0</v>
      </c>
      <c r="O142" s="80"/>
      <c r="P142" s="80"/>
      <c r="Q142" s="58">
        <f t="shared" si="20"/>
        <v>0</v>
      </c>
    </row>
    <row r="143" spans="1:17" ht="16.5">
      <c r="A143" s="601"/>
      <c r="C143" s="56">
        <f t="shared" si="21"/>
        <v>46</v>
      </c>
      <c r="D143" s="595" t="s">
        <v>794</v>
      </c>
      <c r="E143" s="80"/>
      <c r="F143" s="80" t="s">
        <v>704</v>
      </c>
      <c r="G143" s="80">
        <v>1</v>
      </c>
      <c r="H143" s="80">
        <v>1999</v>
      </c>
      <c r="I143" s="81">
        <f>86*G143</f>
        <v>86</v>
      </c>
      <c r="J143" s="80">
        <f t="shared" si="17"/>
        <v>100</v>
      </c>
      <c r="K143" s="80">
        <f t="shared" si="18"/>
        <v>0</v>
      </c>
      <c r="L143" s="80"/>
      <c r="M143" s="80"/>
      <c r="N143" s="58">
        <f t="shared" si="19"/>
        <v>0</v>
      </c>
      <c r="O143" s="80"/>
      <c r="P143" s="80"/>
      <c r="Q143" s="58">
        <f t="shared" si="20"/>
        <v>0</v>
      </c>
    </row>
    <row r="144" spans="1:17" ht="16.5">
      <c r="A144" s="601"/>
      <c r="C144" s="56">
        <f t="shared" si="21"/>
        <v>47</v>
      </c>
      <c r="D144" s="595" t="s">
        <v>795</v>
      </c>
      <c r="E144" s="80"/>
      <c r="F144" s="80" t="s">
        <v>704</v>
      </c>
      <c r="G144" s="80">
        <v>3</v>
      </c>
      <c r="H144" s="80">
        <v>2013</v>
      </c>
      <c r="I144" s="81">
        <f>96*G144</f>
        <v>288</v>
      </c>
      <c r="J144" s="80">
        <f t="shared" si="17"/>
        <v>100</v>
      </c>
      <c r="K144" s="80">
        <f t="shared" si="18"/>
        <v>0</v>
      </c>
      <c r="L144" s="80"/>
      <c r="M144" s="80"/>
      <c r="N144" s="58">
        <f t="shared" si="19"/>
        <v>0</v>
      </c>
      <c r="O144" s="80"/>
      <c r="P144" s="80"/>
      <c r="Q144" s="58">
        <f t="shared" si="20"/>
        <v>0</v>
      </c>
    </row>
    <row r="145" spans="1:17" ht="16.5">
      <c r="A145" s="601"/>
      <c r="C145" s="56">
        <f t="shared" si="21"/>
        <v>48</v>
      </c>
      <c r="D145" s="595" t="s">
        <v>794</v>
      </c>
      <c r="E145" s="80"/>
      <c r="F145" s="80" t="s">
        <v>704</v>
      </c>
      <c r="G145" s="80">
        <v>13</v>
      </c>
      <c r="H145" s="80">
        <v>1994</v>
      </c>
      <c r="I145" s="81">
        <f>100*G145</f>
        <v>1300</v>
      </c>
      <c r="J145" s="80">
        <f t="shared" si="17"/>
        <v>100</v>
      </c>
      <c r="K145" s="80">
        <f t="shared" si="18"/>
        <v>0</v>
      </c>
      <c r="L145" s="80"/>
      <c r="M145" s="80"/>
      <c r="N145" s="58">
        <f t="shared" si="19"/>
        <v>0</v>
      </c>
      <c r="O145" s="80"/>
      <c r="P145" s="80"/>
      <c r="Q145" s="58">
        <f t="shared" si="20"/>
        <v>0</v>
      </c>
    </row>
    <row r="146" spans="1:17" ht="16.5">
      <c r="A146" s="601"/>
      <c r="C146" s="56">
        <f t="shared" si="21"/>
        <v>49</v>
      </c>
      <c r="D146" s="595" t="s">
        <v>774</v>
      </c>
      <c r="E146" s="80"/>
      <c r="F146" s="80" t="s">
        <v>704</v>
      </c>
      <c r="G146" s="80">
        <v>2</v>
      </c>
      <c r="H146" s="80">
        <v>2013</v>
      </c>
      <c r="I146" s="605">
        <f>G146*49</f>
        <v>98</v>
      </c>
      <c r="J146" s="80">
        <f t="shared" si="17"/>
        <v>100</v>
      </c>
      <c r="K146" s="80">
        <f t="shared" si="18"/>
        <v>0</v>
      </c>
      <c r="L146" s="80"/>
      <c r="M146" s="80"/>
      <c r="N146" s="58">
        <f t="shared" si="19"/>
        <v>0</v>
      </c>
      <c r="O146" s="80"/>
      <c r="P146" s="80"/>
      <c r="Q146" s="58">
        <f t="shared" si="20"/>
        <v>0</v>
      </c>
    </row>
    <row r="147" spans="1:17" ht="16.5">
      <c r="A147" s="601"/>
      <c r="C147" s="56">
        <f t="shared" si="21"/>
        <v>50</v>
      </c>
      <c r="D147" s="595" t="s">
        <v>796</v>
      </c>
      <c r="E147" s="80"/>
      <c r="F147" s="80" t="s">
        <v>704</v>
      </c>
      <c r="G147" s="80">
        <v>2</v>
      </c>
      <c r="H147" s="80">
        <v>1999</v>
      </c>
      <c r="I147" s="81">
        <f>100*G147</f>
        <v>200</v>
      </c>
      <c r="J147" s="80">
        <f t="shared" si="17"/>
        <v>100</v>
      </c>
      <c r="K147" s="80">
        <f t="shared" si="18"/>
        <v>0</v>
      </c>
      <c r="L147" s="80"/>
      <c r="M147" s="80"/>
      <c r="N147" s="58">
        <f t="shared" si="19"/>
        <v>0</v>
      </c>
      <c r="O147" s="80"/>
      <c r="P147" s="80"/>
      <c r="Q147" s="58">
        <f t="shared" si="20"/>
        <v>0</v>
      </c>
    </row>
    <row r="148" spans="1:17" ht="16.5">
      <c r="A148" s="601"/>
      <c r="C148" s="56">
        <f t="shared" si="21"/>
        <v>51</v>
      </c>
      <c r="D148" s="595" t="s">
        <v>767</v>
      </c>
      <c r="E148" s="80"/>
      <c r="F148" s="80" t="s">
        <v>704</v>
      </c>
      <c r="G148" s="80">
        <v>2</v>
      </c>
      <c r="H148" s="80">
        <v>2013</v>
      </c>
      <c r="I148" s="81">
        <f>109*G148</f>
        <v>218</v>
      </c>
      <c r="J148" s="80">
        <f t="shared" si="17"/>
        <v>100</v>
      </c>
      <c r="K148" s="80">
        <f t="shared" si="18"/>
        <v>0</v>
      </c>
      <c r="L148" s="80"/>
      <c r="M148" s="80"/>
      <c r="N148" s="58">
        <f t="shared" si="19"/>
        <v>0</v>
      </c>
      <c r="O148" s="80"/>
      <c r="P148" s="80"/>
      <c r="Q148" s="58">
        <f t="shared" si="20"/>
        <v>0</v>
      </c>
    </row>
    <row r="149" spans="1:17" ht="16.5">
      <c r="A149" s="601"/>
      <c r="C149" s="56">
        <f t="shared" si="21"/>
        <v>52</v>
      </c>
      <c r="D149" s="595" t="s">
        <v>797</v>
      </c>
      <c r="E149" s="80"/>
      <c r="F149" s="80" t="s">
        <v>704</v>
      </c>
      <c r="G149" s="80">
        <v>1</v>
      </c>
      <c r="H149" s="80">
        <v>2013</v>
      </c>
      <c r="I149" s="81">
        <f>120*G149</f>
        <v>120</v>
      </c>
      <c r="J149" s="80">
        <f t="shared" si="17"/>
        <v>100</v>
      </c>
      <c r="K149" s="80">
        <f t="shared" si="18"/>
        <v>0</v>
      </c>
      <c r="L149" s="80"/>
      <c r="M149" s="80"/>
      <c r="N149" s="58">
        <f t="shared" si="19"/>
        <v>0</v>
      </c>
      <c r="O149" s="80"/>
      <c r="P149" s="80"/>
      <c r="Q149" s="58">
        <f t="shared" si="20"/>
        <v>0</v>
      </c>
    </row>
    <row r="150" spans="1:17" ht="16.5">
      <c r="A150" s="601"/>
      <c r="C150" s="56">
        <f t="shared" si="21"/>
        <v>53</v>
      </c>
      <c r="D150" s="595" t="s">
        <v>798</v>
      </c>
      <c r="E150" s="80"/>
      <c r="F150" s="80" t="s">
        <v>704</v>
      </c>
      <c r="G150" s="80">
        <v>1</v>
      </c>
      <c r="H150" s="80">
        <v>2013</v>
      </c>
      <c r="I150" s="81">
        <f>134*G150</f>
        <v>134</v>
      </c>
      <c r="J150" s="80">
        <f t="shared" si="17"/>
        <v>100</v>
      </c>
      <c r="K150" s="80">
        <f t="shared" si="18"/>
        <v>0</v>
      </c>
      <c r="L150" s="80"/>
      <c r="M150" s="80"/>
      <c r="N150" s="58">
        <f t="shared" si="19"/>
        <v>0</v>
      </c>
      <c r="O150" s="80"/>
      <c r="P150" s="80"/>
      <c r="Q150" s="58">
        <f t="shared" si="20"/>
        <v>0</v>
      </c>
    </row>
    <row r="151" spans="1:17" ht="16.5">
      <c r="A151" s="601"/>
      <c r="C151" s="56">
        <f t="shared" si="21"/>
        <v>54</v>
      </c>
      <c r="D151" s="595" t="s">
        <v>799</v>
      </c>
      <c r="E151" s="80"/>
      <c r="F151" s="80" t="s">
        <v>704</v>
      </c>
      <c r="G151" s="80">
        <v>7</v>
      </c>
      <c r="H151" s="80">
        <v>1996</v>
      </c>
      <c r="I151" s="81">
        <f>143.4*G151</f>
        <v>1003.8000000000001</v>
      </c>
      <c r="J151" s="80">
        <f t="shared" si="17"/>
        <v>100</v>
      </c>
      <c r="K151" s="80">
        <f t="shared" si="18"/>
        <v>0</v>
      </c>
      <c r="L151" s="80"/>
      <c r="M151" s="80"/>
      <c r="N151" s="58">
        <f t="shared" si="19"/>
        <v>0</v>
      </c>
      <c r="O151" s="80"/>
      <c r="P151" s="80"/>
      <c r="Q151" s="58">
        <f t="shared" si="20"/>
        <v>0</v>
      </c>
    </row>
    <row r="152" spans="1:17" ht="16.5">
      <c r="A152" s="601"/>
      <c r="C152" s="56">
        <f t="shared" si="21"/>
        <v>55</v>
      </c>
      <c r="D152" s="595" t="s">
        <v>800</v>
      </c>
      <c r="E152" s="80"/>
      <c r="F152" s="80" t="s">
        <v>704</v>
      </c>
      <c r="G152" s="80">
        <v>1</v>
      </c>
      <c r="H152" s="80">
        <v>2013</v>
      </c>
      <c r="I152" s="81">
        <f>158*G152</f>
        <v>158</v>
      </c>
      <c r="J152" s="80">
        <f t="shared" si="17"/>
        <v>100</v>
      </c>
      <c r="K152" s="80">
        <f t="shared" si="18"/>
        <v>0</v>
      </c>
      <c r="L152" s="80"/>
      <c r="M152" s="80"/>
      <c r="N152" s="58">
        <f t="shared" si="19"/>
        <v>0</v>
      </c>
      <c r="O152" s="80"/>
      <c r="P152" s="80"/>
      <c r="Q152" s="58">
        <f t="shared" si="20"/>
        <v>0</v>
      </c>
    </row>
    <row r="153" spans="1:17" ht="16.5">
      <c r="A153" s="601"/>
      <c r="C153" s="56">
        <f t="shared" si="21"/>
        <v>56</v>
      </c>
      <c r="D153" s="595" t="s">
        <v>801</v>
      </c>
      <c r="E153" s="80"/>
      <c r="F153" s="80" t="s">
        <v>704</v>
      </c>
      <c r="G153" s="80">
        <v>1</v>
      </c>
      <c r="H153" s="80">
        <v>1995</v>
      </c>
      <c r="I153" s="81">
        <f>158*G153</f>
        <v>158</v>
      </c>
      <c r="J153" s="80">
        <f t="shared" si="17"/>
        <v>100</v>
      </c>
      <c r="K153" s="80">
        <f t="shared" si="18"/>
        <v>0</v>
      </c>
      <c r="L153" s="80"/>
      <c r="M153" s="80"/>
      <c r="N153" s="58">
        <f t="shared" si="19"/>
        <v>0</v>
      </c>
      <c r="O153" s="80"/>
      <c r="P153" s="80"/>
      <c r="Q153" s="58">
        <f t="shared" si="20"/>
        <v>0</v>
      </c>
    </row>
    <row r="154" spans="1:17" ht="16.5">
      <c r="A154" s="601"/>
      <c r="C154" s="56">
        <f t="shared" si="21"/>
        <v>57</v>
      </c>
      <c r="D154" s="595" t="s">
        <v>802</v>
      </c>
      <c r="E154" s="80"/>
      <c r="F154" s="80" t="s">
        <v>704</v>
      </c>
      <c r="G154" s="80">
        <v>6</v>
      </c>
      <c r="H154" s="80">
        <v>1999</v>
      </c>
      <c r="I154" s="81">
        <f>168*G154</f>
        <v>1008</v>
      </c>
      <c r="J154" s="80">
        <f t="shared" si="17"/>
        <v>100</v>
      </c>
      <c r="K154" s="80">
        <f t="shared" si="18"/>
        <v>0</v>
      </c>
      <c r="L154" s="80"/>
      <c r="M154" s="80"/>
      <c r="N154" s="58">
        <f t="shared" si="19"/>
        <v>0</v>
      </c>
      <c r="O154" s="80"/>
      <c r="P154" s="80"/>
      <c r="Q154" s="58">
        <f t="shared" si="20"/>
        <v>0</v>
      </c>
    </row>
    <row r="155" spans="1:17" ht="16.5">
      <c r="A155" s="601"/>
      <c r="C155" s="56">
        <f t="shared" si="21"/>
        <v>58</v>
      </c>
      <c r="D155" s="595" t="s">
        <v>791</v>
      </c>
      <c r="E155" s="80"/>
      <c r="F155" s="80" t="s">
        <v>704</v>
      </c>
      <c r="G155" s="80">
        <v>1</v>
      </c>
      <c r="H155" s="80">
        <v>1995</v>
      </c>
      <c r="I155" s="81">
        <f>180*G155</f>
        <v>180</v>
      </c>
      <c r="J155" s="80">
        <f t="shared" si="17"/>
        <v>100</v>
      </c>
      <c r="K155" s="80">
        <f t="shared" si="18"/>
        <v>0</v>
      </c>
      <c r="L155" s="80"/>
      <c r="M155" s="80"/>
      <c r="N155" s="58">
        <f t="shared" si="19"/>
        <v>0</v>
      </c>
      <c r="O155" s="80"/>
      <c r="P155" s="80"/>
      <c r="Q155" s="58">
        <f t="shared" si="20"/>
        <v>0</v>
      </c>
    </row>
    <row r="156" spans="1:17" ht="16.5">
      <c r="A156" s="601"/>
      <c r="C156" s="56">
        <f t="shared" si="21"/>
        <v>59</v>
      </c>
      <c r="D156" s="595" t="s">
        <v>803</v>
      </c>
      <c r="E156" s="80"/>
      <c r="F156" s="80" t="s">
        <v>704</v>
      </c>
      <c r="G156" s="80">
        <v>1</v>
      </c>
      <c r="H156" s="80">
        <v>1996</v>
      </c>
      <c r="I156" s="81">
        <f>193.5*G156</f>
        <v>193.5</v>
      </c>
      <c r="J156" s="80">
        <f t="shared" si="17"/>
        <v>100</v>
      </c>
      <c r="K156" s="80">
        <f t="shared" si="18"/>
        <v>0</v>
      </c>
      <c r="L156" s="80"/>
      <c r="M156" s="80"/>
      <c r="N156" s="58">
        <f t="shared" si="19"/>
        <v>0</v>
      </c>
      <c r="O156" s="80"/>
      <c r="P156" s="80"/>
      <c r="Q156" s="58">
        <f t="shared" si="20"/>
        <v>0</v>
      </c>
    </row>
    <row r="157" spans="1:17" ht="16.5">
      <c r="A157" s="601"/>
      <c r="C157" s="56">
        <f t="shared" si="21"/>
        <v>60</v>
      </c>
      <c r="D157" s="595" t="s">
        <v>794</v>
      </c>
      <c r="E157" s="80"/>
      <c r="F157" s="80" t="s">
        <v>704</v>
      </c>
      <c r="G157" s="80">
        <v>1</v>
      </c>
      <c r="H157" s="80">
        <v>2013</v>
      </c>
      <c r="I157" s="81">
        <f>200*G157</f>
        <v>200</v>
      </c>
      <c r="J157" s="80">
        <f t="shared" si="17"/>
        <v>100</v>
      </c>
      <c r="K157" s="80">
        <f t="shared" si="18"/>
        <v>0</v>
      </c>
      <c r="L157" s="80"/>
      <c r="M157" s="80"/>
      <c r="N157" s="58">
        <f t="shared" si="19"/>
        <v>0</v>
      </c>
      <c r="O157" s="80"/>
      <c r="P157" s="80"/>
      <c r="Q157" s="58">
        <f t="shared" si="20"/>
        <v>0</v>
      </c>
    </row>
    <row r="158" spans="1:17" ht="16.5">
      <c r="A158" s="601"/>
      <c r="C158" s="56">
        <f t="shared" si="21"/>
        <v>61</v>
      </c>
      <c r="D158" s="595" t="s">
        <v>804</v>
      </c>
      <c r="E158" s="80"/>
      <c r="F158" s="80" t="s">
        <v>704</v>
      </c>
      <c r="G158" s="80">
        <v>1</v>
      </c>
      <c r="H158" s="80">
        <v>2013</v>
      </c>
      <c r="I158" s="81">
        <f>250*G158</f>
        <v>250</v>
      </c>
      <c r="J158" s="80">
        <f t="shared" si="17"/>
        <v>100</v>
      </c>
      <c r="K158" s="80">
        <f t="shared" si="18"/>
        <v>0</v>
      </c>
      <c r="L158" s="80"/>
      <c r="M158" s="80"/>
      <c r="N158" s="58">
        <f t="shared" si="19"/>
        <v>0</v>
      </c>
      <c r="O158" s="80"/>
      <c r="P158" s="80"/>
      <c r="Q158" s="58">
        <f t="shared" si="20"/>
        <v>0</v>
      </c>
    </row>
    <row r="159" spans="1:17" ht="16.5">
      <c r="A159" s="601"/>
      <c r="C159" s="56">
        <f t="shared" si="21"/>
        <v>62</v>
      </c>
      <c r="D159" s="595" t="s">
        <v>805</v>
      </c>
      <c r="E159" s="80"/>
      <c r="F159" s="80" t="s">
        <v>704</v>
      </c>
      <c r="G159" s="80">
        <v>1</v>
      </c>
      <c r="H159" s="80">
        <v>1994</v>
      </c>
      <c r="I159" s="81">
        <f>264.1*G159</f>
        <v>264.1</v>
      </c>
      <c r="J159" s="80">
        <f t="shared" si="17"/>
        <v>100</v>
      </c>
      <c r="K159" s="80">
        <f t="shared" si="18"/>
        <v>0</v>
      </c>
      <c r="L159" s="80"/>
      <c r="M159" s="80"/>
      <c r="N159" s="58">
        <f t="shared" si="19"/>
        <v>0</v>
      </c>
      <c r="O159" s="80"/>
      <c r="P159" s="80"/>
      <c r="Q159" s="58">
        <f t="shared" si="20"/>
        <v>0</v>
      </c>
    </row>
    <row r="160" spans="1:17" ht="16.5">
      <c r="A160" s="601"/>
      <c r="C160" s="56">
        <f t="shared" si="21"/>
        <v>63</v>
      </c>
      <c r="D160" s="595" t="s">
        <v>806</v>
      </c>
      <c r="E160" s="80"/>
      <c r="F160" s="80" t="s">
        <v>688</v>
      </c>
      <c r="G160" s="80">
        <v>1</v>
      </c>
      <c r="H160" s="80">
        <v>2016</v>
      </c>
      <c r="I160" s="81">
        <f>338*G160</f>
        <v>338</v>
      </c>
      <c r="J160" s="80">
        <f t="shared" si="17"/>
        <v>80</v>
      </c>
      <c r="K160" s="80">
        <f t="shared" si="18"/>
        <v>67.59999999999997</v>
      </c>
      <c r="L160" s="80"/>
      <c r="M160" s="80"/>
      <c r="N160" s="58">
        <f t="shared" si="19"/>
        <v>0</v>
      </c>
      <c r="O160" s="80"/>
      <c r="P160" s="80"/>
      <c r="Q160" s="58">
        <f t="shared" si="20"/>
        <v>0</v>
      </c>
    </row>
    <row r="161" spans="1:17" ht="16.5">
      <c r="A161" s="601"/>
      <c r="C161" s="56">
        <f t="shared" si="21"/>
        <v>64</v>
      </c>
      <c r="D161" s="595" t="s">
        <v>807</v>
      </c>
      <c r="E161" s="80"/>
      <c r="F161" s="80" t="s">
        <v>704</v>
      </c>
      <c r="G161" s="80">
        <v>1</v>
      </c>
      <c r="H161" s="80">
        <v>1999</v>
      </c>
      <c r="I161" s="81">
        <f>279*G161</f>
        <v>279</v>
      </c>
      <c r="J161" s="80">
        <f t="shared" si="17"/>
        <v>100</v>
      </c>
      <c r="K161" s="80">
        <f t="shared" si="18"/>
        <v>0</v>
      </c>
      <c r="L161" s="80"/>
      <c r="M161" s="80"/>
      <c r="N161" s="58">
        <f t="shared" si="19"/>
        <v>0</v>
      </c>
      <c r="O161" s="80"/>
      <c r="P161" s="80"/>
      <c r="Q161" s="58">
        <f t="shared" si="20"/>
        <v>0</v>
      </c>
    </row>
    <row r="162" spans="1:17" ht="16.5">
      <c r="A162" s="601"/>
      <c r="C162" s="56">
        <f t="shared" si="21"/>
        <v>65</v>
      </c>
      <c r="D162" s="595" t="s">
        <v>808</v>
      </c>
      <c r="E162" s="80"/>
      <c r="F162" s="80" t="s">
        <v>688</v>
      </c>
      <c r="G162" s="80">
        <v>2</v>
      </c>
      <c r="H162" s="80">
        <v>2013</v>
      </c>
      <c r="I162" s="81">
        <f>G162*317</f>
        <v>634</v>
      </c>
      <c r="J162" s="80">
        <f aca="true" t="shared" si="22" ref="J162:J168">IF(($J$14-H162)*J$97&gt;100,100,($J$14-H162)*J$97)</f>
        <v>100</v>
      </c>
      <c r="K162" s="80">
        <f t="shared" si="18"/>
        <v>0</v>
      </c>
      <c r="L162" s="80"/>
      <c r="M162" s="80"/>
      <c r="N162" s="58">
        <f t="shared" si="19"/>
        <v>0</v>
      </c>
      <c r="O162" s="80"/>
      <c r="P162" s="80"/>
      <c r="Q162" s="58">
        <f t="shared" si="20"/>
        <v>0</v>
      </c>
    </row>
    <row r="163" spans="1:17" ht="16.5">
      <c r="A163" s="601"/>
      <c r="C163" s="56">
        <f t="shared" si="21"/>
        <v>66</v>
      </c>
      <c r="D163" s="595" t="s">
        <v>809</v>
      </c>
      <c r="E163" s="80"/>
      <c r="F163" s="80" t="s">
        <v>688</v>
      </c>
      <c r="G163" s="80">
        <v>2</v>
      </c>
      <c r="H163" s="80">
        <v>2013</v>
      </c>
      <c r="I163" s="81">
        <f>317*G163</f>
        <v>634</v>
      </c>
      <c r="J163" s="80">
        <f t="shared" si="22"/>
        <v>100</v>
      </c>
      <c r="K163" s="80">
        <f aca="true" t="shared" si="23" ref="K163:K168">IF(J163=100,0,I163-I163*J163%)</f>
        <v>0</v>
      </c>
      <c r="L163" s="80"/>
      <c r="M163" s="80"/>
      <c r="N163" s="58">
        <f aca="true" t="shared" si="24" ref="N163:N168">+L163*M163</f>
        <v>0</v>
      </c>
      <c r="O163" s="80"/>
      <c r="P163" s="80"/>
      <c r="Q163" s="58">
        <f aca="true" t="shared" si="25" ref="Q163:Q168">+O163*P163</f>
        <v>0</v>
      </c>
    </row>
    <row r="164" spans="1:17" ht="16.5">
      <c r="A164" s="601"/>
      <c r="C164" s="56">
        <f>C163+1</f>
        <v>67</v>
      </c>
      <c r="D164" s="595" t="s">
        <v>810</v>
      </c>
      <c r="E164" s="80"/>
      <c r="F164" s="80" t="s">
        <v>688</v>
      </c>
      <c r="G164" s="80">
        <v>1</v>
      </c>
      <c r="H164" s="80">
        <v>2013</v>
      </c>
      <c r="I164" s="81">
        <v>375</v>
      </c>
      <c r="J164" s="80">
        <f t="shared" si="22"/>
        <v>100</v>
      </c>
      <c r="K164" s="80">
        <f t="shared" si="23"/>
        <v>0</v>
      </c>
      <c r="L164" s="80"/>
      <c r="M164" s="80"/>
      <c r="N164" s="58">
        <f t="shared" si="24"/>
        <v>0</v>
      </c>
      <c r="O164" s="80"/>
      <c r="P164" s="80"/>
      <c r="Q164" s="58">
        <f t="shared" si="25"/>
        <v>0</v>
      </c>
    </row>
    <row r="165" spans="1:17" ht="16.5">
      <c r="A165" s="601"/>
      <c r="C165" s="56">
        <f>C164+1</f>
        <v>68</v>
      </c>
      <c r="D165" s="595" t="s">
        <v>811</v>
      </c>
      <c r="E165" s="80"/>
      <c r="F165" s="80" t="s">
        <v>688</v>
      </c>
      <c r="G165" s="80">
        <v>1</v>
      </c>
      <c r="H165" s="80">
        <v>2013</v>
      </c>
      <c r="I165" s="81">
        <v>450</v>
      </c>
      <c r="J165" s="80">
        <f t="shared" si="22"/>
        <v>100</v>
      </c>
      <c r="K165" s="80">
        <f t="shared" si="23"/>
        <v>0</v>
      </c>
      <c r="L165" s="80"/>
      <c r="M165" s="80"/>
      <c r="N165" s="58">
        <f t="shared" si="24"/>
        <v>0</v>
      </c>
      <c r="O165" s="80"/>
      <c r="P165" s="80"/>
      <c r="Q165" s="58">
        <f t="shared" si="25"/>
        <v>0</v>
      </c>
    </row>
    <row r="166" spans="1:17" ht="16.5">
      <c r="A166" s="601"/>
      <c r="C166" s="56">
        <f>C165+1</f>
        <v>69</v>
      </c>
      <c r="D166" s="595" t="s">
        <v>812</v>
      </c>
      <c r="E166" s="80"/>
      <c r="F166" s="80" t="s">
        <v>688</v>
      </c>
      <c r="G166" s="80">
        <v>1</v>
      </c>
      <c r="H166" s="80">
        <v>2009</v>
      </c>
      <c r="I166" s="81">
        <v>499.97</v>
      </c>
      <c r="J166" s="80">
        <f t="shared" si="22"/>
        <v>100</v>
      </c>
      <c r="K166" s="80">
        <f t="shared" si="23"/>
        <v>0</v>
      </c>
      <c r="L166" s="80"/>
      <c r="M166" s="80"/>
      <c r="N166" s="58">
        <f t="shared" si="24"/>
        <v>0</v>
      </c>
      <c r="O166" s="80"/>
      <c r="P166" s="80"/>
      <c r="Q166" s="58">
        <f t="shared" si="25"/>
        <v>0</v>
      </c>
    </row>
    <row r="167" spans="1:17" ht="16.5">
      <c r="A167" s="601"/>
      <c r="C167" s="56">
        <f>C166+1</f>
        <v>70</v>
      </c>
      <c r="D167" s="595" t="s">
        <v>813</v>
      </c>
      <c r="E167" s="80"/>
      <c r="F167" s="80" t="s">
        <v>688</v>
      </c>
      <c r="G167" s="80">
        <v>1</v>
      </c>
      <c r="H167" s="80">
        <v>2001</v>
      </c>
      <c r="I167" s="81">
        <v>17040.2</v>
      </c>
      <c r="J167" s="80">
        <f t="shared" si="22"/>
        <v>100</v>
      </c>
      <c r="K167" s="80">
        <f t="shared" si="23"/>
        <v>0</v>
      </c>
      <c r="L167" s="80"/>
      <c r="M167" s="80"/>
      <c r="N167" s="58">
        <f t="shared" si="24"/>
        <v>0</v>
      </c>
      <c r="O167" s="80"/>
      <c r="P167" s="80"/>
      <c r="Q167" s="58">
        <f t="shared" si="25"/>
        <v>0</v>
      </c>
    </row>
    <row r="168" spans="1:17" ht="16.5">
      <c r="A168" s="601"/>
      <c r="C168" s="56">
        <f>C167+1</f>
        <v>71</v>
      </c>
      <c r="D168" s="595" t="s">
        <v>794</v>
      </c>
      <c r="E168" s="80"/>
      <c r="F168" s="80" t="s">
        <v>704</v>
      </c>
      <c r="G168" s="80">
        <v>1</v>
      </c>
      <c r="H168" s="80">
        <v>1994</v>
      </c>
      <c r="I168" s="81">
        <v>100</v>
      </c>
      <c r="J168" s="80">
        <f t="shared" si="22"/>
        <v>100</v>
      </c>
      <c r="K168" s="80">
        <f t="shared" si="23"/>
        <v>0</v>
      </c>
      <c r="L168" s="80"/>
      <c r="M168" s="80"/>
      <c r="N168" s="58">
        <f t="shared" si="24"/>
        <v>0</v>
      </c>
      <c r="O168" s="80"/>
      <c r="P168" s="80"/>
      <c r="Q168" s="58">
        <f t="shared" si="25"/>
        <v>0</v>
      </c>
    </row>
    <row r="169" spans="2:17" ht="33">
      <c r="B169" s="428"/>
      <c r="C169" s="427">
        <v>621</v>
      </c>
      <c r="D169" s="412" t="s">
        <v>304</v>
      </c>
      <c r="E169" s="413">
        <v>5</v>
      </c>
      <c r="F169" s="80"/>
      <c r="G169" s="399">
        <f>SUM(G170:G171)</f>
        <v>41</v>
      </c>
      <c r="H169" s="80"/>
      <c r="I169" s="80"/>
      <c r="J169" s="433">
        <v>20</v>
      </c>
      <c r="K169" s="399">
        <f>SUM(K170:K171)</f>
        <v>0</v>
      </c>
      <c r="L169" s="399">
        <f>SUM(L170:L171)</f>
        <v>0</v>
      </c>
      <c r="M169" s="80"/>
      <c r="N169" s="399">
        <f>SUM(N170:N171)</f>
        <v>0</v>
      </c>
      <c r="O169" s="399">
        <f>SUM(O170:O171)</f>
        <v>0</v>
      </c>
      <c r="P169" s="80"/>
      <c r="Q169" s="399">
        <f>SUM(Q170:Q171)</f>
        <v>0</v>
      </c>
    </row>
    <row r="170" spans="1:17" ht="16.5">
      <c r="A170" s="428"/>
      <c r="C170" s="56">
        <v>1</v>
      </c>
      <c r="D170" s="80" t="s">
        <v>814</v>
      </c>
      <c r="E170" s="83"/>
      <c r="F170" s="80" t="s">
        <v>704</v>
      </c>
      <c r="G170" s="80">
        <v>40</v>
      </c>
      <c r="H170" s="80">
        <v>2013</v>
      </c>
      <c r="I170" s="80">
        <f>15.03*G170</f>
        <v>601.1999999999999</v>
      </c>
      <c r="J170" s="80">
        <f>IF(($J$14-H170)*J$169&gt;100,100,($J$14-H170)*J$169)</f>
        <v>100</v>
      </c>
      <c r="K170" s="80">
        <f>IF(J170=100,0,I170-I170*J170%)</f>
        <v>0</v>
      </c>
      <c r="L170" s="80"/>
      <c r="M170" s="80"/>
      <c r="N170" s="58">
        <f aca="true" t="shared" si="26" ref="N170:N195">+L170*M170</f>
        <v>0</v>
      </c>
      <c r="O170" s="80"/>
      <c r="P170" s="80"/>
      <c r="Q170" s="58">
        <f aca="true" t="shared" si="27" ref="Q170:Q195">+O170*P170</f>
        <v>0</v>
      </c>
    </row>
    <row r="171" spans="3:17" ht="14.25">
      <c r="C171" s="56">
        <v>2</v>
      </c>
      <c r="D171" s="606" t="s">
        <v>815</v>
      </c>
      <c r="E171" s="83"/>
      <c r="F171" s="80" t="s">
        <v>688</v>
      </c>
      <c r="G171" s="80">
        <v>1</v>
      </c>
      <c r="H171" s="80">
        <v>1999</v>
      </c>
      <c r="I171" s="81">
        <v>5490</v>
      </c>
      <c r="J171" s="80">
        <f>IF(($J$14-H171)*J$169&gt;100,100,($J$14-H171)*J$169)</f>
        <v>100</v>
      </c>
      <c r="K171" s="80">
        <f>IF(J171=100,0,I171-I171*J171%)</f>
        <v>0</v>
      </c>
      <c r="L171" s="80"/>
      <c r="M171" s="80"/>
      <c r="N171" s="58">
        <f t="shared" si="26"/>
        <v>0</v>
      </c>
      <c r="O171" s="80"/>
      <c r="P171" s="80"/>
      <c r="Q171" s="58">
        <f t="shared" si="27"/>
        <v>0</v>
      </c>
    </row>
    <row r="172" spans="2:17" ht="82.5">
      <c r="B172" s="428"/>
      <c r="C172" s="427">
        <v>622</v>
      </c>
      <c r="D172" s="412" t="s">
        <v>307</v>
      </c>
      <c r="E172" s="413">
        <v>8</v>
      </c>
      <c r="F172" s="80"/>
      <c r="G172" s="399">
        <f>SUM(G173:G191)</f>
        <v>32</v>
      </c>
      <c r="H172" s="80"/>
      <c r="I172" s="80"/>
      <c r="J172" s="433">
        <v>12.5</v>
      </c>
      <c r="K172" s="399">
        <f>SUM(K173:K191)</f>
        <v>0</v>
      </c>
      <c r="L172" s="399">
        <f>SUM(L173:L191)</f>
        <v>0</v>
      </c>
      <c r="M172" s="80"/>
      <c r="N172" s="399">
        <f t="shared" si="26"/>
        <v>0</v>
      </c>
      <c r="O172" s="399"/>
      <c r="P172" s="80"/>
      <c r="Q172" s="399">
        <f t="shared" si="27"/>
        <v>0</v>
      </c>
    </row>
    <row r="173" spans="1:17" ht="16.5">
      <c r="A173" s="428"/>
      <c r="C173" s="56">
        <v>1</v>
      </c>
      <c r="D173" s="595" t="s">
        <v>816</v>
      </c>
      <c r="E173" s="83"/>
      <c r="F173" s="80" t="s">
        <v>704</v>
      </c>
      <c r="G173" s="80">
        <v>1</v>
      </c>
      <c r="H173" s="80">
        <v>2012</v>
      </c>
      <c r="I173" s="80">
        <v>168.8</v>
      </c>
      <c r="J173" s="80">
        <f aca="true" t="shared" si="28" ref="J173:J191">IF(($J$14-H173)*J$172&gt;100,100,($J$14-H173)*J$172)</f>
        <v>100</v>
      </c>
      <c r="K173" s="80">
        <f>IF(J173=100,0,I173-I173*J173%)</f>
        <v>0</v>
      </c>
      <c r="L173" s="80"/>
      <c r="M173" s="80"/>
      <c r="N173" s="58">
        <f t="shared" si="26"/>
        <v>0</v>
      </c>
      <c r="O173" s="80"/>
      <c r="P173" s="80"/>
      <c r="Q173" s="58">
        <f t="shared" si="27"/>
        <v>0</v>
      </c>
    </row>
    <row r="174" spans="1:17" ht="16.5">
      <c r="A174" s="601"/>
      <c r="C174" s="56">
        <f>C173+1</f>
        <v>2</v>
      </c>
      <c r="D174" s="595" t="s">
        <v>817</v>
      </c>
      <c r="E174" s="83"/>
      <c r="F174" s="80" t="s">
        <v>704</v>
      </c>
      <c r="G174" s="80">
        <v>1</v>
      </c>
      <c r="H174" s="80">
        <v>2013</v>
      </c>
      <c r="I174" s="81">
        <v>419</v>
      </c>
      <c r="J174" s="80">
        <f t="shared" si="28"/>
        <v>100</v>
      </c>
      <c r="K174" s="80">
        <f aca="true" t="shared" si="29" ref="K174:K191">IF(J174=100,0,I174-I174*J174%)</f>
        <v>0</v>
      </c>
      <c r="L174" s="80"/>
      <c r="M174" s="80"/>
      <c r="N174" s="58">
        <f t="shared" si="26"/>
        <v>0</v>
      </c>
      <c r="O174" s="80"/>
      <c r="P174" s="80"/>
      <c r="Q174" s="58">
        <f t="shared" si="27"/>
        <v>0</v>
      </c>
    </row>
    <row r="175" spans="1:17" ht="16.5">
      <c r="A175" s="601"/>
      <c r="C175" s="56">
        <f aca="true" t="shared" si="30" ref="C175:C191">C174+1</f>
        <v>3</v>
      </c>
      <c r="D175" s="595" t="s">
        <v>818</v>
      </c>
      <c r="E175" s="83"/>
      <c r="F175" s="80" t="s">
        <v>704</v>
      </c>
      <c r="G175" s="80">
        <v>2</v>
      </c>
      <c r="H175" s="80">
        <v>2008</v>
      </c>
      <c r="I175" s="81">
        <f>34.98*G175</f>
        <v>69.96</v>
      </c>
      <c r="J175" s="80">
        <f t="shared" si="28"/>
        <v>100</v>
      </c>
      <c r="K175" s="80">
        <f t="shared" si="29"/>
        <v>0</v>
      </c>
      <c r="L175" s="80"/>
      <c r="M175" s="80"/>
      <c r="N175" s="58">
        <f t="shared" si="26"/>
        <v>0</v>
      </c>
      <c r="O175" s="80"/>
      <c r="P175" s="80"/>
      <c r="Q175" s="58">
        <f t="shared" si="27"/>
        <v>0</v>
      </c>
    </row>
    <row r="176" spans="1:17" ht="16.5">
      <c r="A176" s="601"/>
      <c r="C176" s="56">
        <f t="shared" si="30"/>
        <v>4</v>
      </c>
      <c r="D176" s="595" t="s">
        <v>819</v>
      </c>
      <c r="E176" s="83"/>
      <c r="F176" s="80" t="s">
        <v>704</v>
      </c>
      <c r="G176" s="80">
        <v>4</v>
      </c>
      <c r="H176" s="80">
        <v>2008</v>
      </c>
      <c r="I176" s="80">
        <f>147.8*G176</f>
        <v>591.2</v>
      </c>
      <c r="J176" s="80">
        <f t="shared" si="28"/>
        <v>100</v>
      </c>
      <c r="K176" s="80">
        <f t="shared" si="29"/>
        <v>0</v>
      </c>
      <c r="L176" s="80"/>
      <c r="M176" s="80"/>
      <c r="N176" s="58">
        <f t="shared" si="26"/>
        <v>0</v>
      </c>
      <c r="O176" s="80"/>
      <c r="P176" s="80"/>
      <c r="Q176" s="58">
        <f t="shared" si="27"/>
        <v>0</v>
      </c>
    </row>
    <row r="177" spans="1:17" ht="16.5">
      <c r="A177" s="601"/>
      <c r="C177" s="56">
        <f t="shared" si="30"/>
        <v>5</v>
      </c>
      <c r="D177" s="595" t="s">
        <v>820</v>
      </c>
      <c r="E177" s="83"/>
      <c r="F177" s="80" t="s">
        <v>704</v>
      </c>
      <c r="G177" s="80">
        <v>2</v>
      </c>
      <c r="H177" s="80">
        <v>2009</v>
      </c>
      <c r="I177" s="80">
        <f>207.1*G177</f>
        <v>414.2</v>
      </c>
      <c r="J177" s="80">
        <f t="shared" si="28"/>
        <v>100</v>
      </c>
      <c r="K177" s="80">
        <f t="shared" si="29"/>
        <v>0</v>
      </c>
      <c r="L177" s="80"/>
      <c r="M177" s="80"/>
      <c r="N177" s="58">
        <f t="shared" si="26"/>
        <v>0</v>
      </c>
      <c r="O177" s="80"/>
      <c r="P177" s="80"/>
      <c r="Q177" s="58">
        <f t="shared" si="27"/>
        <v>0</v>
      </c>
    </row>
    <row r="178" spans="1:17" ht="16.5">
      <c r="A178" s="601"/>
      <c r="C178" s="56">
        <f t="shared" si="30"/>
        <v>6</v>
      </c>
      <c r="D178" s="595" t="s">
        <v>821</v>
      </c>
      <c r="E178" s="83"/>
      <c r="F178" s="80" t="s">
        <v>704</v>
      </c>
      <c r="G178" s="80">
        <v>1</v>
      </c>
      <c r="H178" s="80">
        <v>2016</v>
      </c>
      <c r="I178" s="81">
        <f>152.4*G178</f>
        <v>152.4</v>
      </c>
      <c r="J178" s="80">
        <f t="shared" si="28"/>
        <v>100</v>
      </c>
      <c r="K178" s="80">
        <f t="shared" si="29"/>
        <v>0</v>
      </c>
      <c r="L178" s="80"/>
      <c r="M178" s="80"/>
      <c r="N178" s="58">
        <f t="shared" si="26"/>
        <v>0</v>
      </c>
      <c r="O178" s="80"/>
      <c r="P178" s="80"/>
      <c r="Q178" s="58">
        <f t="shared" si="27"/>
        <v>0</v>
      </c>
    </row>
    <row r="179" spans="1:17" ht="16.5">
      <c r="A179" s="601"/>
      <c r="C179" s="56">
        <f t="shared" si="30"/>
        <v>7</v>
      </c>
      <c r="D179" s="595" t="s">
        <v>822</v>
      </c>
      <c r="E179" s="80"/>
      <c r="F179" s="80" t="s">
        <v>704</v>
      </c>
      <c r="G179" s="80">
        <v>6</v>
      </c>
      <c r="H179" s="80">
        <v>2013</v>
      </c>
      <c r="I179" s="81">
        <f>100*G179</f>
        <v>600</v>
      </c>
      <c r="J179" s="80">
        <f t="shared" si="28"/>
        <v>100</v>
      </c>
      <c r="K179" s="80">
        <f t="shared" si="29"/>
        <v>0</v>
      </c>
      <c r="L179" s="80"/>
      <c r="M179" s="80"/>
      <c r="N179" s="58">
        <f t="shared" si="26"/>
        <v>0</v>
      </c>
      <c r="O179" s="80"/>
      <c r="P179" s="80"/>
      <c r="Q179" s="58">
        <f t="shared" si="27"/>
        <v>0</v>
      </c>
    </row>
    <row r="180" spans="1:17" ht="16.5">
      <c r="A180" s="601"/>
      <c r="C180" s="56">
        <f t="shared" si="30"/>
        <v>8</v>
      </c>
      <c r="D180" s="595" t="s">
        <v>823</v>
      </c>
      <c r="E180" s="83"/>
      <c r="F180" s="80" t="s">
        <v>704</v>
      </c>
      <c r="G180" s="80">
        <v>1</v>
      </c>
      <c r="H180" s="80">
        <v>2009</v>
      </c>
      <c r="I180" s="81">
        <f>211.61*G180</f>
        <v>211.61</v>
      </c>
      <c r="J180" s="80">
        <f t="shared" si="28"/>
        <v>100</v>
      </c>
      <c r="K180" s="80">
        <f t="shared" si="29"/>
        <v>0</v>
      </c>
      <c r="L180" s="80"/>
      <c r="M180" s="80"/>
      <c r="N180" s="58">
        <f t="shared" si="26"/>
        <v>0</v>
      </c>
      <c r="O180" s="80"/>
      <c r="P180" s="80"/>
      <c r="Q180" s="58">
        <f t="shared" si="27"/>
        <v>0</v>
      </c>
    </row>
    <row r="181" spans="1:17" ht="16.5">
      <c r="A181" s="601"/>
      <c r="C181" s="56">
        <f t="shared" si="30"/>
        <v>9</v>
      </c>
      <c r="D181" s="595" t="s">
        <v>824</v>
      </c>
      <c r="E181" s="83"/>
      <c r="F181" s="80" t="s">
        <v>704</v>
      </c>
      <c r="G181" s="80">
        <v>1</v>
      </c>
      <c r="H181" s="80">
        <v>2008</v>
      </c>
      <c r="I181" s="81">
        <f>224.55*G181</f>
        <v>224.55</v>
      </c>
      <c r="J181" s="80">
        <f t="shared" si="28"/>
        <v>100</v>
      </c>
      <c r="K181" s="80">
        <f t="shared" si="29"/>
        <v>0</v>
      </c>
      <c r="L181" s="80"/>
      <c r="M181" s="80"/>
      <c r="N181" s="58">
        <f t="shared" si="26"/>
        <v>0</v>
      </c>
      <c r="O181" s="80"/>
      <c r="P181" s="80"/>
      <c r="Q181" s="58">
        <f t="shared" si="27"/>
        <v>0</v>
      </c>
    </row>
    <row r="182" spans="1:17" ht="16.5">
      <c r="A182" s="601"/>
      <c r="C182" s="56">
        <f t="shared" si="30"/>
        <v>10</v>
      </c>
      <c r="D182" s="595" t="s">
        <v>705</v>
      </c>
      <c r="E182" s="83"/>
      <c r="F182" s="80" t="s">
        <v>704</v>
      </c>
      <c r="G182" s="80">
        <v>2</v>
      </c>
      <c r="H182" s="80">
        <v>2012</v>
      </c>
      <c r="I182" s="80">
        <f>265.75*G182</f>
        <v>531.5</v>
      </c>
      <c r="J182" s="80">
        <f t="shared" si="28"/>
        <v>100</v>
      </c>
      <c r="K182" s="80">
        <f t="shared" si="29"/>
        <v>0</v>
      </c>
      <c r="L182" s="80"/>
      <c r="M182" s="80"/>
      <c r="N182" s="58">
        <f t="shared" si="26"/>
        <v>0</v>
      </c>
      <c r="O182" s="80"/>
      <c r="P182" s="80"/>
      <c r="Q182" s="58">
        <f t="shared" si="27"/>
        <v>0</v>
      </c>
    </row>
    <row r="183" spans="1:17" ht="16.5">
      <c r="A183" s="601"/>
      <c r="C183" s="56">
        <f t="shared" si="30"/>
        <v>11</v>
      </c>
      <c r="D183" s="595" t="s">
        <v>825</v>
      </c>
      <c r="E183" s="83"/>
      <c r="F183" s="80" t="s">
        <v>704</v>
      </c>
      <c r="G183" s="80">
        <v>2</v>
      </c>
      <c r="H183" s="80">
        <v>2008</v>
      </c>
      <c r="I183" s="80">
        <f>401.85*G183</f>
        <v>803.7</v>
      </c>
      <c r="J183" s="80">
        <f t="shared" si="28"/>
        <v>100</v>
      </c>
      <c r="K183" s="80">
        <f t="shared" si="29"/>
        <v>0</v>
      </c>
      <c r="L183" s="80"/>
      <c r="M183" s="80"/>
      <c r="N183" s="58">
        <f t="shared" si="26"/>
        <v>0</v>
      </c>
      <c r="O183" s="80"/>
      <c r="P183" s="80"/>
      <c r="Q183" s="58">
        <f t="shared" si="27"/>
        <v>0</v>
      </c>
    </row>
    <row r="184" spans="1:17" ht="16.5">
      <c r="A184" s="601"/>
      <c r="C184" s="56">
        <f t="shared" si="30"/>
        <v>12</v>
      </c>
      <c r="D184" s="595" t="s">
        <v>826</v>
      </c>
      <c r="E184" s="83"/>
      <c r="F184" s="80" t="s">
        <v>704</v>
      </c>
      <c r="G184" s="80">
        <v>1</v>
      </c>
      <c r="H184" s="80">
        <v>2016</v>
      </c>
      <c r="I184" s="80">
        <v>357.8</v>
      </c>
      <c r="J184" s="80">
        <f t="shared" si="28"/>
        <v>100</v>
      </c>
      <c r="K184" s="80">
        <f t="shared" si="29"/>
        <v>0</v>
      </c>
      <c r="L184" s="80"/>
      <c r="M184" s="80"/>
      <c r="N184" s="58">
        <f t="shared" si="26"/>
        <v>0</v>
      </c>
      <c r="O184" s="80"/>
      <c r="P184" s="80"/>
      <c r="Q184" s="58">
        <f t="shared" si="27"/>
        <v>0</v>
      </c>
    </row>
    <row r="185" spans="1:17" ht="16.5">
      <c r="A185" s="601"/>
      <c r="C185" s="56">
        <f t="shared" si="30"/>
        <v>13</v>
      </c>
      <c r="D185" s="595" t="s">
        <v>827</v>
      </c>
      <c r="E185" s="83"/>
      <c r="F185" s="80" t="s">
        <v>704</v>
      </c>
      <c r="G185" s="80">
        <v>1</v>
      </c>
      <c r="H185" s="80">
        <v>2016</v>
      </c>
      <c r="I185" s="80">
        <v>347.7</v>
      </c>
      <c r="J185" s="80">
        <f t="shared" si="28"/>
        <v>100</v>
      </c>
      <c r="K185" s="80">
        <f t="shared" si="29"/>
        <v>0</v>
      </c>
      <c r="L185" s="80"/>
      <c r="M185" s="80"/>
      <c r="N185" s="58">
        <f t="shared" si="26"/>
        <v>0</v>
      </c>
      <c r="O185" s="80"/>
      <c r="P185" s="80"/>
      <c r="Q185" s="58">
        <f t="shared" si="27"/>
        <v>0</v>
      </c>
    </row>
    <row r="186" spans="1:17" ht="16.5">
      <c r="A186" s="601"/>
      <c r="C186" s="56">
        <f t="shared" si="30"/>
        <v>14</v>
      </c>
      <c r="D186" s="595" t="s">
        <v>821</v>
      </c>
      <c r="E186" s="83"/>
      <c r="F186" s="80" t="s">
        <v>704</v>
      </c>
      <c r="G186" s="80">
        <v>1</v>
      </c>
      <c r="H186" s="80">
        <v>2013</v>
      </c>
      <c r="I186" s="81">
        <v>520</v>
      </c>
      <c r="J186" s="80">
        <f t="shared" si="28"/>
        <v>100</v>
      </c>
      <c r="K186" s="80">
        <f t="shared" si="29"/>
        <v>0</v>
      </c>
      <c r="L186" s="80"/>
      <c r="M186" s="80"/>
      <c r="N186" s="58">
        <f t="shared" si="26"/>
        <v>0</v>
      </c>
      <c r="O186" s="80"/>
      <c r="P186" s="80"/>
      <c r="Q186" s="58">
        <f t="shared" si="27"/>
        <v>0</v>
      </c>
    </row>
    <row r="187" spans="1:17" ht="16.5">
      <c r="A187" s="601"/>
      <c r="C187" s="56">
        <f t="shared" si="30"/>
        <v>15</v>
      </c>
      <c r="D187" s="595" t="s">
        <v>828</v>
      </c>
      <c r="E187" s="83"/>
      <c r="F187" s="80" t="s">
        <v>704</v>
      </c>
      <c r="G187" s="80">
        <v>1</v>
      </c>
      <c r="H187" s="80">
        <v>2013</v>
      </c>
      <c r="I187" s="80">
        <v>430</v>
      </c>
      <c r="J187" s="80">
        <f t="shared" si="28"/>
        <v>100</v>
      </c>
      <c r="K187" s="80">
        <f t="shared" si="29"/>
        <v>0</v>
      </c>
      <c r="L187" s="80"/>
      <c r="M187" s="80"/>
      <c r="N187" s="58">
        <f t="shared" si="26"/>
        <v>0</v>
      </c>
      <c r="O187" s="80"/>
      <c r="P187" s="80"/>
      <c r="Q187" s="58">
        <f t="shared" si="27"/>
        <v>0</v>
      </c>
    </row>
    <row r="188" spans="1:17" ht="16.5">
      <c r="A188" s="601"/>
      <c r="C188" s="56">
        <f t="shared" si="30"/>
        <v>16</v>
      </c>
      <c r="D188" s="595" t="s">
        <v>829</v>
      </c>
      <c r="E188" s="83"/>
      <c r="F188" s="80" t="s">
        <v>704</v>
      </c>
      <c r="G188" s="80">
        <v>1</v>
      </c>
      <c r="H188" s="80">
        <v>1998</v>
      </c>
      <c r="I188" s="81">
        <v>464.96</v>
      </c>
      <c r="J188" s="80">
        <f t="shared" si="28"/>
        <v>100</v>
      </c>
      <c r="K188" s="80">
        <f t="shared" si="29"/>
        <v>0</v>
      </c>
      <c r="L188" s="80"/>
      <c r="M188" s="80"/>
      <c r="N188" s="58">
        <f t="shared" si="26"/>
        <v>0</v>
      </c>
      <c r="O188" s="80"/>
      <c r="P188" s="80"/>
      <c r="Q188" s="58">
        <f t="shared" si="27"/>
        <v>0</v>
      </c>
    </row>
    <row r="189" spans="1:17" ht="16.5">
      <c r="A189" s="601"/>
      <c r="C189" s="56">
        <f t="shared" si="30"/>
        <v>17</v>
      </c>
      <c r="D189" s="595" t="s">
        <v>830</v>
      </c>
      <c r="E189" s="83"/>
      <c r="F189" s="80" t="s">
        <v>704</v>
      </c>
      <c r="G189" s="80">
        <v>1</v>
      </c>
      <c r="H189" s="80">
        <v>2001</v>
      </c>
      <c r="I189" s="80">
        <v>575.8</v>
      </c>
      <c r="J189" s="80">
        <f t="shared" si="28"/>
        <v>100</v>
      </c>
      <c r="K189" s="80">
        <f t="shared" si="29"/>
        <v>0</v>
      </c>
      <c r="L189" s="80"/>
      <c r="M189" s="80"/>
      <c r="N189" s="58">
        <f t="shared" si="26"/>
        <v>0</v>
      </c>
      <c r="O189" s="80"/>
      <c r="P189" s="80"/>
      <c r="Q189" s="58">
        <f t="shared" si="27"/>
        <v>0</v>
      </c>
    </row>
    <row r="190" spans="1:17" ht="16.5">
      <c r="A190" s="601"/>
      <c r="C190" s="56">
        <f t="shared" si="30"/>
        <v>18</v>
      </c>
      <c r="D190" s="595" t="s">
        <v>831</v>
      </c>
      <c r="E190" s="83"/>
      <c r="F190" s="80" t="s">
        <v>704</v>
      </c>
      <c r="G190" s="80">
        <v>2</v>
      </c>
      <c r="H190" s="80">
        <v>1999</v>
      </c>
      <c r="I190" s="81">
        <f>G190*824.5</f>
        <v>1649</v>
      </c>
      <c r="J190" s="80">
        <f t="shared" si="28"/>
        <v>100</v>
      </c>
      <c r="K190" s="80">
        <f t="shared" si="29"/>
        <v>0</v>
      </c>
      <c r="L190" s="80"/>
      <c r="M190" s="80"/>
      <c r="N190" s="58">
        <f t="shared" si="26"/>
        <v>0</v>
      </c>
      <c r="O190" s="80"/>
      <c r="P190" s="80"/>
      <c r="Q190" s="58">
        <f t="shared" si="27"/>
        <v>0</v>
      </c>
    </row>
    <row r="191" spans="1:17" ht="16.5">
      <c r="A191" s="601"/>
      <c r="C191" s="56">
        <f t="shared" si="30"/>
        <v>19</v>
      </c>
      <c r="D191" s="595" t="s">
        <v>832</v>
      </c>
      <c r="E191" s="83"/>
      <c r="F191" s="80" t="s">
        <v>704</v>
      </c>
      <c r="G191" s="80">
        <v>1</v>
      </c>
      <c r="H191" s="80">
        <v>1999</v>
      </c>
      <c r="I191" s="80">
        <v>721.5</v>
      </c>
      <c r="J191" s="80">
        <f t="shared" si="28"/>
        <v>100</v>
      </c>
      <c r="K191" s="80">
        <f t="shared" si="29"/>
        <v>0</v>
      </c>
      <c r="L191" s="80"/>
      <c r="M191" s="80"/>
      <c r="N191" s="58">
        <f t="shared" si="26"/>
        <v>0</v>
      </c>
      <c r="O191" s="80"/>
      <c r="P191" s="80"/>
      <c r="Q191" s="58">
        <f t="shared" si="27"/>
        <v>0</v>
      </c>
    </row>
    <row r="192" spans="2:17" ht="17.25">
      <c r="B192" s="428"/>
      <c r="C192" s="427">
        <v>629</v>
      </c>
      <c r="D192" s="412" t="s">
        <v>309</v>
      </c>
      <c r="E192" s="413">
        <v>8</v>
      </c>
      <c r="F192" s="80"/>
      <c r="G192" s="399">
        <f>SUM(G193:G195)</f>
        <v>6</v>
      </c>
      <c r="H192" s="80"/>
      <c r="I192" s="80"/>
      <c r="J192" s="433">
        <v>12.5</v>
      </c>
      <c r="K192" s="399">
        <f>SUM(K193:K195)</f>
        <v>0</v>
      </c>
      <c r="L192" s="399">
        <f>SUM(L193:L195)</f>
        <v>0</v>
      </c>
      <c r="M192" s="80"/>
      <c r="N192" s="399">
        <f t="shared" si="26"/>
        <v>0</v>
      </c>
      <c r="O192" s="399"/>
      <c r="P192" s="80"/>
      <c r="Q192" s="399">
        <f t="shared" si="27"/>
        <v>0</v>
      </c>
    </row>
    <row r="193" spans="1:17" ht="16.5">
      <c r="A193" s="428"/>
      <c r="C193" s="56">
        <v>1</v>
      </c>
      <c r="D193" s="595" t="s">
        <v>833</v>
      </c>
      <c r="E193" s="83"/>
      <c r="F193" s="80" t="s">
        <v>704</v>
      </c>
      <c r="G193" s="80">
        <v>2</v>
      </c>
      <c r="H193" s="80">
        <v>2013</v>
      </c>
      <c r="I193" s="80">
        <f>117.9*G193</f>
        <v>235.8</v>
      </c>
      <c r="J193" s="80">
        <f>IF(($J$14-H193)*J$192&gt;100,100,($J$14-H193)*J$192)</f>
        <v>100</v>
      </c>
      <c r="K193" s="80">
        <f>IF(J193=100,0,I193-I193*J193%)</f>
        <v>0</v>
      </c>
      <c r="L193" s="80"/>
      <c r="M193" s="80"/>
      <c r="N193" s="58">
        <f t="shared" si="26"/>
        <v>0</v>
      </c>
      <c r="O193" s="80"/>
      <c r="P193" s="80"/>
      <c r="Q193" s="58">
        <f t="shared" si="27"/>
        <v>0</v>
      </c>
    </row>
    <row r="194" spans="3:17" ht="13.5">
      <c r="C194" s="56">
        <f>C193+1</f>
        <v>2</v>
      </c>
      <c r="D194" s="595" t="s">
        <v>834</v>
      </c>
      <c r="E194" s="80"/>
      <c r="F194" s="80" t="s">
        <v>704</v>
      </c>
      <c r="G194" s="80">
        <v>3</v>
      </c>
      <c r="H194" s="80">
        <v>2009</v>
      </c>
      <c r="I194" s="80">
        <f>23.9*G194</f>
        <v>71.69999999999999</v>
      </c>
      <c r="J194" s="80">
        <f>IF(($J$14-H194)*J$192&gt;100,100,($J$14-H194)*J$192)</f>
        <v>100</v>
      </c>
      <c r="K194" s="80">
        <f>IF(J194=100,0,I194-I194*J194%)</f>
        <v>0</v>
      </c>
      <c r="L194" s="80"/>
      <c r="M194" s="80"/>
      <c r="N194" s="58">
        <f t="shared" si="26"/>
        <v>0</v>
      </c>
      <c r="O194" s="80"/>
      <c r="P194" s="80"/>
      <c r="Q194" s="58">
        <f t="shared" si="27"/>
        <v>0</v>
      </c>
    </row>
    <row r="195" spans="3:17" ht="14.25">
      <c r="C195" s="56">
        <f>C194+1</f>
        <v>3</v>
      </c>
      <c r="D195" s="595" t="s">
        <v>835</v>
      </c>
      <c r="E195" s="83"/>
      <c r="F195" s="80" t="s">
        <v>688</v>
      </c>
      <c r="G195" s="80">
        <v>1</v>
      </c>
      <c r="H195" s="80">
        <v>2013</v>
      </c>
      <c r="I195" s="80">
        <v>796</v>
      </c>
      <c r="J195" s="80">
        <f>IF(($J$14-H195)*J$192&gt;100,100,($J$14-H195)*J$192)</f>
        <v>100</v>
      </c>
      <c r="K195" s="80">
        <f>IF(J195=100,0,I195-I195*J195%)</f>
        <v>0</v>
      </c>
      <c r="L195" s="80"/>
      <c r="M195" s="80"/>
      <c r="N195" s="58">
        <f t="shared" si="26"/>
        <v>0</v>
      </c>
      <c r="O195" s="80"/>
      <c r="P195" s="80"/>
      <c r="Q195" s="58">
        <f t="shared" si="27"/>
        <v>0</v>
      </c>
    </row>
    <row r="196" spans="2:17" ht="16.5">
      <c r="B196" s="430"/>
      <c r="C196" s="416"/>
      <c r="D196" s="417" t="s">
        <v>181</v>
      </c>
      <c r="E196" s="418"/>
      <c r="F196" s="419" t="s">
        <v>1</v>
      </c>
      <c r="G196" s="431" t="s">
        <v>1</v>
      </c>
      <c r="H196" s="420" t="s">
        <v>1</v>
      </c>
      <c r="I196" s="420" t="s">
        <v>1</v>
      </c>
      <c r="J196" s="420" t="s">
        <v>1</v>
      </c>
      <c r="K196" s="420" t="s">
        <v>1</v>
      </c>
      <c r="L196" s="431" t="s">
        <v>1</v>
      </c>
      <c r="M196" s="420" t="s">
        <v>1</v>
      </c>
      <c r="N196" s="421">
        <f>+N96+N15</f>
        <v>0</v>
      </c>
      <c r="O196" s="432" t="s">
        <v>1</v>
      </c>
      <c r="P196" s="420" t="s">
        <v>1</v>
      </c>
      <c r="Q196" s="421">
        <f>+Q96+Q15</f>
        <v>0</v>
      </c>
    </row>
    <row r="197" spans="1:17" ht="16.5">
      <c r="A197" s="429"/>
      <c r="Q197" s="3"/>
    </row>
  </sheetData>
  <sheetProtection/>
  <mergeCells count="9">
    <mergeCell ref="G11:K11"/>
    <mergeCell ref="L11:N11"/>
    <mergeCell ref="O11:Q11"/>
    <mergeCell ref="J2:L2"/>
    <mergeCell ref="D3:H3"/>
    <mergeCell ref="D4:H4"/>
    <mergeCell ref="C5:M5"/>
    <mergeCell ref="C7:M7"/>
    <mergeCell ref="C8:M8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28"/>
  <sheetViews>
    <sheetView zoomScalePageLayoutView="0" workbookViewId="0" topLeftCell="A10">
      <selection activeCell="H19" sqref="H19:I19"/>
    </sheetView>
  </sheetViews>
  <sheetFormatPr defaultColWidth="9.140625" defaultRowHeight="12.75"/>
  <cols>
    <col min="1" max="1" width="6.28125" style="167" customWidth="1"/>
    <col min="2" max="2" width="23.421875" style="168" customWidth="1"/>
    <col min="3" max="3" width="21.00390625" style="168" customWidth="1"/>
    <col min="4" max="4" width="16.00390625" style="168" customWidth="1"/>
    <col min="5" max="5" width="12.28125" style="168" customWidth="1"/>
    <col min="6" max="6" width="29.8515625" style="168" customWidth="1"/>
    <col min="7" max="7" width="25.28125" style="168" customWidth="1"/>
    <col min="8" max="10" width="16.140625" style="168" customWidth="1"/>
    <col min="11" max="11" width="12.140625" style="168" customWidth="1"/>
    <col min="12" max="12" width="26.8515625" style="168" customWidth="1"/>
    <col min="13" max="16384" width="9.140625" style="168" customWidth="1"/>
  </cols>
  <sheetData>
    <row r="1" spans="1:14" s="239" customFormat="1" ht="15.75">
      <c r="A1" s="169"/>
      <c r="B1" s="722"/>
      <c r="C1" s="722"/>
      <c r="D1" s="98"/>
      <c r="E1" s="26"/>
      <c r="G1" s="98"/>
      <c r="H1" s="98"/>
      <c r="I1" s="98"/>
      <c r="J1" s="98"/>
      <c r="K1" s="98"/>
      <c r="L1" s="98" t="s">
        <v>267</v>
      </c>
      <c r="M1" s="98"/>
      <c r="N1" s="2"/>
    </row>
    <row r="2" spans="1:14" s="239" customFormat="1" ht="17.25" customHeight="1">
      <c r="A2" s="169"/>
      <c r="D2" s="266"/>
      <c r="G2" s="266"/>
      <c r="H2" s="266"/>
      <c r="I2" s="266"/>
      <c r="J2" s="266"/>
      <c r="K2" s="266"/>
      <c r="L2" s="378" t="s">
        <v>10</v>
      </c>
      <c r="M2" s="378"/>
      <c r="N2" s="378"/>
    </row>
    <row r="3" spans="1:14" s="239" customFormat="1" ht="15.75" thickBot="1">
      <c r="A3" s="169"/>
      <c r="B3" s="723" t="s">
        <v>454</v>
      </c>
      <c r="C3" s="723"/>
      <c r="D3" s="723"/>
      <c r="E3" s="723"/>
      <c r="F3" s="723"/>
      <c r="G3" s="723"/>
      <c r="H3" s="723"/>
      <c r="I3" s="723"/>
      <c r="J3" s="170"/>
      <c r="K3" s="170"/>
      <c r="L3" s="18"/>
      <c r="M3" s="238"/>
      <c r="N3" s="238"/>
    </row>
    <row r="4" spans="1:12" s="240" customFormat="1" ht="27" customHeight="1">
      <c r="A4" s="169"/>
      <c r="B4" s="267" t="s">
        <v>11</v>
      </c>
      <c r="C4" s="267"/>
      <c r="D4" s="171"/>
      <c r="E4" s="171"/>
      <c r="F4" s="267"/>
      <c r="G4" s="171"/>
      <c r="H4" s="171"/>
      <c r="I4" s="171"/>
      <c r="J4" s="171"/>
      <c r="K4" s="171"/>
      <c r="L4" s="171"/>
    </row>
    <row r="5" spans="1:12" s="239" customFormat="1" ht="22.5" customHeight="1">
      <c r="A5" s="291" t="s">
        <v>167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</row>
    <row r="6" spans="1:12" s="239" customFormat="1" ht="22.5" customHeight="1">
      <c r="A6" s="291" t="s">
        <v>390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</row>
    <row r="7" spans="1:12" s="240" customFormat="1" ht="15">
      <c r="A7" s="169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</row>
    <row r="8" spans="1:12" s="172" customFormat="1" ht="15">
      <c r="A8" s="169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</row>
    <row r="9" spans="1:12" s="172" customFormat="1" ht="15.75">
      <c r="A9" s="169"/>
      <c r="B9" s="722"/>
      <c r="C9" s="722"/>
      <c r="D9" s="278"/>
      <c r="E9" s="171"/>
      <c r="F9" s="171"/>
      <c r="G9" s="278"/>
      <c r="H9" s="278"/>
      <c r="I9" s="278"/>
      <c r="J9" s="278"/>
      <c r="K9" s="278"/>
      <c r="L9" s="278" t="s">
        <v>179</v>
      </c>
    </row>
    <row r="10" spans="1:12" s="172" customFormat="1" ht="15">
      <c r="A10" s="169"/>
      <c r="B10" s="171"/>
      <c r="C10" s="171"/>
      <c r="D10" s="278"/>
      <c r="E10" s="171"/>
      <c r="F10" s="171"/>
      <c r="G10" s="278"/>
      <c r="H10" s="278"/>
      <c r="I10" s="278"/>
      <c r="J10" s="278"/>
      <c r="K10" s="278"/>
      <c r="L10" s="278"/>
    </row>
    <row r="11" spans="1:12" s="139" customFormat="1" ht="132" customHeight="1">
      <c r="A11" s="173" t="s">
        <v>71</v>
      </c>
      <c r="B11" s="214" t="s">
        <v>184</v>
      </c>
      <c r="C11" s="214" t="s">
        <v>180</v>
      </c>
      <c r="D11" s="214" t="s">
        <v>182</v>
      </c>
      <c r="E11" s="214" t="s">
        <v>183</v>
      </c>
      <c r="F11" s="214" t="s">
        <v>202</v>
      </c>
      <c r="G11" s="214" t="s">
        <v>204</v>
      </c>
      <c r="H11" s="214" t="s">
        <v>205</v>
      </c>
      <c r="I11" s="214" t="s">
        <v>206</v>
      </c>
      <c r="J11" s="214" t="s">
        <v>207</v>
      </c>
      <c r="K11" s="214" t="s">
        <v>208</v>
      </c>
      <c r="L11" s="214" t="s">
        <v>249</v>
      </c>
    </row>
    <row r="12" spans="1:12" s="366" customFormat="1" ht="12">
      <c r="A12" s="176">
        <v>1</v>
      </c>
      <c r="B12" s="103">
        <v>2</v>
      </c>
      <c r="C12" s="103">
        <v>3</v>
      </c>
      <c r="D12" s="103">
        <v>4</v>
      </c>
      <c r="E12" s="103">
        <v>5</v>
      </c>
      <c r="F12" s="103">
        <v>6</v>
      </c>
      <c r="G12" s="103">
        <v>7</v>
      </c>
      <c r="H12" s="103">
        <v>7.1</v>
      </c>
      <c r="I12" s="103">
        <v>7.2</v>
      </c>
      <c r="J12" s="103">
        <v>7.3</v>
      </c>
      <c r="K12" s="103">
        <v>7.4</v>
      </c>
      <c r="L12" s="103">
        <v>8</v>
      </c>
    </row>
    <row r="13" spans="1:12" s="139" customFormat="1" ht="32.25" customHeight="1">
      <c r="A13" s="313"/>
      <c r="B13" s="314" t="s">
        <v>200</v>
      </c>
      <c r="C13" s="314"/>
      <c r="D13" s="314" t="s">
        <v>1</v>
      </c>
      <c r="E13" s="314">
        <f>SUM(E14:E17)</f>
        <v>0</v>
      </c>
      <c r="F13" s="314"/>
      <c r="G13" s="314"/>
      <c r="H13" s="314"/>
      <c r="I13" s="314"/>
      <c r="J13" s="314"/>
      <c r="K13" s="314"/>
      <c r="L13" s="314"/>
    </row>
    <row r="14" spans="1:12" ht="15">
      <c r="A14" s="174">
        <v>1</v>
      </c>
      <c r="B14" s="175"/>
      <c r="C14" s="175"/>
      <c r="D14" s="174" t="s">
        <v>1</v>
      </c>
      <c r="E14" s="175"/>
      <c r="F14" s="174"/>
      <c r="G14" s="174">
        <f>SUM(H14:K14)</f>
        <v>0</v>
      </c>
      <c r="H14" s="174"/>
      <c r="I14" s="174"/>
      <c r="J14" s="174"/>
      <c r="K14" s="174"/>
      <c r="L14" s="174"/>
    </row>
    <row r="15" spans="1:12" ht="15">
      <c r="A15" s="174">
        <v>2</v>
      </c>
      <c r="B15" s="175"/>
      <c r="C15" s="175"/>
      <c r="D15" s="174" t="s">
        <v>1</v>
      </c>
      <c r="E15" s="175"/>
      <c r="F15" s="174"/>
      <c r="G15" s="174">
        <f aca="true" t="shared" si="0" ref="G15:G22">SUM(H15:K15)</f>
        <v>0</v>
      </c>
      <c r="H15" s="174"/>
      <c r="I15" s="174"/>
      <c r="J15" s="174"/>
      <c r="K15" s="174"/>
      <c r="L15" s="174"/>
    </row>
    <row r="16" spans="1:12" ht="15">
      <c r="A16" s="174">
        <v>3</v>
      </c>
      <c r="B16" s="175"/>
      <c r="C16" s="175"/>
      <c r="D16" s="174" t="s">
        <v>1</v>
      </c>
      <c r="E16" s="175"/>
      <c r="F16" s="174"/>
      <c r="G16" s="174">
        <f t="shared" si="0"/>
        <v>0</v>
      </c>
      <c r="H16" s="174"/>
      <c r="I16" s="174"/>
      <c r="J16" s="174"/>
      <c r="K16" s="174"/>
      <c r="L16" s="174"/>
    </row>
    <row r="17" spans="1:12" ht="15">
      <c r="A17" s="174" t="s">
        <v>163</v>
      </c>
      <c r="B17" s="175"/>
      <c r="C17" s="175"/>
      <c r="D17" s="174" t="s">
        <v>1</v>
      </c>
      <c r="E17" s="175"/>
      <c r="F17" s="174"/>
      <c r="G17" s="174">
        <f t="shared" si="0"/>
        <v>0</v>
      </c>
      <c r="H17" s="174"/>
      <c r="I17" s="174"/>
      <c r="J17" s="174"/>
      <c r="K17" s="174"/>
      <c r="L17" s="174"/>
    </row>
    <row r="18" spans="1:12" s="139" customFormat="1" ht="32.25" customHeight="1">
      <c r="A18" s="313"/>
      <c r="B18" s="314" t="s">
        <v>201</v>
      </c>
      <c r="C18" s="314"/>
      <c r="D18" s="314" t="s">
        <v>1</v>
      </c>
      <c r="E18" s="314">
        <f>SUM(E19:E22)</f>
        <v>738</v>
      </c>
      <c r="F18" s="314"/>
      <c r="G18" s="314"/>
      <c r="H18" s="314"/>
      <c r="I18" s="314"/>
      <c r="J18" s="314"/>
      <c r="K18" s="314"/>
      <c r="L18" s="314"/>
    </row>
    <row r="19" spans="1:12" ht="63.75">
      <c r="A19" s="174">
        <v>1</v>
      </c>
      <c r="B19" s="528" t="s">
        <v>485</v>
      </c>
      <c r="C19" s="214" t="s">
        <v>486</v>
      </c>
      <c r="D19" s="174" t="s">
        <v>1</v>
      </c>
      <c r="E19" s="529">
        <v>738</v>
      </c>
      <c r="F19" s="528" t="s">
        <v>487</v>
      </c>
      <c r="G19" s="530">
        <f>SUM(H19:K19)</f>
        <v>5814.3720632</v>
      </c>
      <c r="H19" s="530">
        <v>2702.3</v>
      </c>
      <c r="I19" s="530">
        <v>3043.8</v>
      </c>
      <c r="J19" s="531"/>
      <c r="K19" s="530">
        <f>'[1]3-Ծախսերի բացվածք'!G16</f>
        <v>68.27206320000002</v>
      </c>
      <c r="L19" s="174"/>
    </row>
    <row r="20" spans="1:12" ht="17.25">
      <c r="A20" s="174">
        <v>2</v>
      </c>
      <c r="B20" s="175"/>
      <c r="C20" s="175"/>
      <c r="D20" s="174" t="s">
        <v>1</v>
      </c>
      <c r="E20" s="175"/>
      <c r="F20" s="174"/>
      <c r="G20" s="174">
        <f t="shared" si="0"/>
        <v>0</v>
      </c>
      <c r="H20" s="174"/>
      <c r="I20" s="174"/>
      <c r="J20" s="174"/>
      <c r="K20" s="174"/>
      <c r="L20" s="174"/>
    </row>
    <row r="21" spans="1:12" ht="17.25">
      <c r="A21" s="174">
        <v>3</v>
      </c>
      <c r="B21" s="175"/>
      <c r="C21" s="175"/>
      <c r="D21" s="174" t="s">
        <v>1</v>
      </c>
      <c r="E21" s="175"/>
      <c r="F21" s="174"/>
      <c r="G21" s="174">
        <f t="shared" si="0"/>
        <v>0</v>
      </c>
      <c r="H21" s="174"/>
      <c r="I21" s="174"/>
      <c r="J21" s="174"/>
      <c r="K21" s="174"/>
      <c r="L21" s="174"/>
    </row>
    <row r="22" spans="1:12" ht="17.25">
      <c r="A22" s="174" t="s">
        <v>163</v>
      </c>
      <c r="B22" s="175"/>
      <c r="C22" s="175"/>
      <c r="D22" s="174" t="s">
        <v>1</v>
      </c>
      <c r="E22" s="175"/>
      <c r="F22" s="174"/>
      <c r="G22" s="174">
        <f t="shared" si="0"/>
        <v>0</v>
      </c>
      <c r="H22" s="174"/>
      <c r="I22" s="174"/>
      <c r="J22" s="174"/>
      <c r="K22" s="174"/>
      <c r="L22" s="174"/>
    </row>
    <row r="23" spans="1:12" s="139" customFormat="1" ht="32.25" customHeight="1">
      <c r="A23" s="313"/>
      <c r="B23" s="314" t="s">
        <v>199</v>
      </c>
      <c r="C23" s="314"/>
      <c r="D23" s="314"/>
      <c r="E23" s="314">
        <f>SUM(E24:E27)</f>
        <v>0</v>
      </c>
      <c r="F23" s="314"/>
      <c r="G23" s="314"/>
      <c r="H23" s="314"/>
      <c r="I23" s="314"/>
      <c r="J23" s="314"/>
      <c r="K23" s="314"/>
      <c r="L23" s="314"/>
    </row>
    <row r="24" spans="1:12" ht="17.25">
      <c r="A24" s="174">
        <v>1</v>
      </c>
      <c r="B24" s="175"/>
      <c r="C24" s="175"/>
      <c r="D24" s="174"/>
      <c r="E24" s="175"/>
      <c r="F24" s="174"/>
      <c r="G24" s="174">
        <f>SUM(H24:K24)</f>
        <v>0</v>
      </c>
      <c r="H24" s="174"/>
      <c r="I24" s="174"/>
      <c r="J24" s="174"/>
      <c r="K24" s="174"/>
      <c r="L24" s="174"/>
    </row>
    <row r="25" spans="1:12" ht="17.25">
      <c r="A25" s="174">
        <v>2</v>
      </c>
      <c r="B25" s="175"/>
      <c r="C25" s="175"/>
      <c r="D25" s="174"/>
      <c r="E25" s="175"/>
      <c r="F25" s="174"/>
      <c r="G25" s="174">
        <f>SUM(H25:K25)</f>
        <v>0</v>
      </c>
      <c r="H25" s="174"/>
      <c r="I25" s="174"/>
      <c r="J25" s="174"/>
      <c r="K25" s="174"/>
      <c r="L25" s="174"/>
    </row>
    <row r="26" spans="1:12" ht="17.25">
      <c r="A26" s="174">
        <v>3</v>
      </c>
      <c r="B26" s="175"/>
      <c r="C26" s="175"/>
      <c r="D26" s="174"/>
      <c r="E26" s="175"/>
      <c r="F26" s="174"/>
      <c r="G26" s="174">
        <f>SUM(H26:K26)</f>
        <v>0</v>
      </c>
      <c r="H26" s="174"/>
      <c r="I26" s="174"/>
      <c r="J26" s="174"/>
      <c r="K26" s="174"/>
      <c r="L26" s="174"/>
    </row>
    <row r="27" spans="1:12" ht="17.25">
      <c r="A27" s="174" t="s">
        <v>163</v>
      </c>
      <c r="B27" s="175"/>
      <c r="C27" s="175"/>
      <c r="D27" s="174"/>
      <c r="E27" s="175"/>
      <c r="F27" s="174"/>
      <c r="G27" s="174">
        <f>SUM(H27:K27)</f>
        <v>0</v>
      </c>
      <c r="H27" s="174"/>
      <c r="I27" s="174"/>
      <c r="J27" s="174"/>
      <c r="K27" s="174"/>
      <c r="L27" s="174"/>
    </row>
    <row r="28" spans="1:12" s="139" customFormat="1" ht="32.25" customHeight="1">
      <c r="A28" s="313"/>
      <c r="B28" s="315" t="s">
        <v>181</v>
      </c>
      <c r="C28" s="314"/>
      <c r="D28" s="316">
        <f>SUM(D24:D27)</f>
        <v>0</v>
      </c>
      <c r="E28" s="314"/>
      <c r="F28" s="314"/>
      <c r="G28" s="314"/>
      <c r="H28" s="314"/>
      <c r="I28" s="314"/>
      <c r="J28" s="314"/>
      <c r="K28" s="314"/>
      <c r="L28" s="314"/>
    </row>
  </sheetData>
  <sheetProtection/>
  <mergeCells count="3">
    <mergeCell ref="B9:C9"/>
    <mergeCell ref="B1:C1"/>
    <mergeCell ref="B3:I3"/>
  </mergeCells>
  <printOptions/>
  <pageMargins left="0.35" right="0.35" top="0.29" bottom="0.37" header="0.21" footer="0.16"/>
  <pageSetup horizontalDpi="600" verticalDpi="600" orientation="landscape" paperSize="9" scale="6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27"/>
  <sheetViews>
    <sheetView tabSelected="1" zoomScalePageLayoutView="0" workbookViewId="0" topLeftCell="A19">
      <selection activeCell="B27" sqref="B27:C27"/>
    </sheetView>
  </sheetViews>
  <sheetFormatPr defaultColWidth="9.140625" defaultRowHeight="12.75"/>
  <cols>
    <col min="1" max="1" width="6.28125" style="167" customWidth="1"/>
    <col min="2" max="2" width="36.00390625" style="168" customWidth="1"/>
    <col min="3" max="3" width="63.140625" style="168" customWidth="1"/>
    <col min="4" max="4" width="24.28125" style="168" customWidth="1"/>
    <col min="5" max="5" width="9.8515625" style="168" bestFit="1" customWidth="1"/>
    <col min="6" max="16384" width="9.140625" style="168" customWidth="1"/>
  </cols>
  <sheetData>
    <row r="1" spans="1:4" s="239" customFormat="1" ht="17.25">
      <c r="A1" s="169"/>
      <c r="B1" s="724" t="s">
        <v>121</v>
      </c>
      <c r="C1" s="724"/>
      <c r="D1" s="490"/>
    </row>
    <row r="2" spans="1:4" s="239" customFormat="1" ht="17.25" customHeight="1">
      <c r="A2" s="169"/>
      <c r="C2" s="536" t="s">
        <v>10</v>
      </c>
      <c r="D2" s="396"/>
    </row>
    <row r="3" spans="1:3" s="239" customFormat="1" ht="37.5" customHeight="1" thickBot="1">
      <c r="A3" s="169"/>
      <c r="B3" s="723" t="s">
        <v>454</v>
      </c>
      <c r="C3" s="723"/>
    </row>
    <row r="4" spans="1:3" s="240" customFormat="1" ht="27" customHeight="1">
      <c r="A4" s="169"/>
      <c r="B4" s="267" t="s">
        <v>11</v>
      </c>
      <c r="C4" s="267"/>
    </row>
    <row r="5" spans="1:3" s="239" customFormat="1" ht="22.5" customHeight="1">
      <c r="A5" s="291" t="s">
        <v>167</v>
      </c>
      <c r="B5" s="291"/>
      <c r="C5" s="291"/>
    </row>
    <row r="6" spans="1:3" s="239" customFormat="1" ht="34.5">
      <c r="A6" s="291" t="s">
        <v>391</v>
      </c>
      <c r="B6" s="291"/>
      <c r="C6" s="291"/>
    </row>
    <row r="7" spans="1:3" s="240" customFormat="1" ht="17.25">
      <c r="A7" s="169"/>
      <c r="B7" s="171"/>
      <c r="C7" s="171"/>
    </row>
    <row r="8" spans="1:3" s="240" customFormat="1" ht="74.25" customHeight="1">
      <c r="A8" s="169"/>
      <c r="B8" s="492" t="s">
        <v>397</v>
      </c>
      <c r="C8" s="493" t="s">
        <v>398</v>
      </c>
    </row>
    <row r="9" spans="1:3" s="240" customFormat="1" ht="24.75" customHeight="1">
      <c r="A9" s="169"/>
      <c r="B9" s="493">
        <f>+'14տարածքներ'!E13+'14տարածքներ'!E18</f>
        <v>738</v>
      </c>
      <c r="C9" s="175">
        <f>+B9*0.8</f>
        <v>590.4</v>
      </c>
    </row>
    <row r="10" spans="1:3" s="240" customFormat="1" ht="17.25">
      <c r="A10" s="169"/>
      <c r="B10" s="171"/>
      <c r="C10" s="171"/>
    </row>
    <row r="11" spans="1:3" s="240" customFormat="1" ht="17.25">
      <c r="A11" s="169"/>
      <c r="B11" s="171"/>
      <c r="C11" s="171"/>
    </row>
    <row r="12" spans="1:3" ht="76.5" customHeight="1">
      <c r="A12" s="260">
        <v>1</v>
      </c>
      <c r="B12" s="532" t="s">
        <v>282</v>
      </c>
      <c r="C12" s="393" t="s">
        <v>454</v>
      </c>
    </row>
    <row r="13" spans="1:3" ht="62.25" customHeight="1">
      <c r="A13" s="260">
        <v>2</v>
      </c>
      <c r="B13" s="535" t="s">
        <v>283</v>
      </c>
      <c r="C13" s="492" t="s">
        <v>497</v>
      </c>
    </row>
    <row r="14" spans="1:3" ht="57" customHeight="1">
      <c r="A14" s="260">
        <v>3</v>
      </c>
      <c r="B14" s="535" t="s">
        <v>284</v>
      </c>
      <c r="C14" s="393" t="s">
        <v>488</v>
      </c>
    </row>
    <row r="15" spans="1:3" ht="45" customHeight="1">
      <c r="A15" s="260">
        <v>4</v>
      </c>
      <c r="B15" s="535" t="s">
        <v>278</v>
      </c>
      <c r="C15" s="393" t="s">
        <v>843</v>
      </c>
    </row>
    <row r="16" spans="1:3" ht="66" customHeight="1">
      <c r="A16" s="260">
        <v>5</v>
      </c>
      <c r="B16" s="535" t="s">
        <v>285</v>
      </c>
      <c r="C16" s="393"/>
    </row>
    <row r="17" spans="1:3" ht="88.5" customHeight="1">
      <c r="A17" s="572" t="s">
        <v>7</v>
      </c>
      <c r="B17" s="533" t="s">
        <v>286</v>
      </c>
      <c r="C17" s="534"/>
    </row>
    <row r="18" spans="1:3" ht="34.5" customHeight="1">
      <c r="A18" s="390" t="s">
        <v>280</v>
      </c>
      <c r="B18" s="391"/>
      <c r="C18" s="392"/>
    </row>
    <row r="19" spans="1:3" ht="54.75">
      <c r="A19" s="390"/>
      <c r="B19" s="9" t="s">
        <v>279</v>
      </c>
      <c r="C19" s="439" t="s">
        <v>281</v>
      </c>
    </row>
    <row r="20" spans="1:3" ht="17.25">
      <c r="A20" s="174">
        <v>1</v>
      </c>
      <c r="B20" s="175"/>
      <c r="C20" s="175"/>
    </row>
    <row r="21" spans="1:3" ht="17.25">
      <c r="A21" s="174">
        <v>2</v>
      </c>
      <c r="B21" s="175"/>
      <c r="C21" s="175"/>
    </row>
    <row r="22" spans="1:3" ht="17.25">
      <c r="A22" s="174">
        <v>3</v>
      </c>
      <c r="B22" s="175"/>
      <c r="C22" s="175"/>
    </row>
    <row r="23" spans="1:3" ht="41.25" customHeight="1">
      <c r="A23" s="174" t="s">
        <v>163</v>
      </c>
      <c r="B23" s="175"/>
      <c r="C23" s="175"/>
    </row>
    <row r="24" spans="1:3" s="139" customFormat="1" ht="32.25" customHeight="1">
      <c r="A24" s="313"/>
      <c r="B24" s="315" t="s">
        <v>181</v>
      </c>
      <c r="C24" s="314">
        <f>SUM(C20:C23)</f>
        <v>0</v>
      </c>
    </row>
    <row r="27" spans="1:3" ht="80.25" customHeight="1">
      <c r="A27" s="572" t="s">
        <v>683</v>
      </c>
      <c r="B27" s="725" t="s">
        <v>845</v>
      </c>
      <c r="C27" s="725"/>
    </row>
  </sheetData>
  <sheetProtection/>
  <mergeCells count="3">
    <mergeCell ref="B1:C1"/>
    <mergeCell ref="B3:C3"/>
    <mergeCell ref="B27:C27"/>
  </mergeCells>
  <printOptions/>
  <pageMargins left="0.35" right="0.2" top="0.2" bottom="0.2" header="0.21" footer="0.16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6.140625" style="4" customWidth="1"/>
    <col min="2" max="2" width="39.140625" style="4" customWidth="1"/>
    <col min="3" max="3" width="16.57421875" style="4" customWidth="1"/>
    <col min="4" max="4" width="18.421875" style="4" customWidth="1"/>
    <col min="5" max="5" width="19.7109375" style="4" customWidth="1"/>
    <col min="6" max="6" width="23.57421875" style="4" customWidth="1"/>
    <col min="7" max="7" width="12.421875" style="4" customWidth="1"/>
    <col min="8" max="8" width="26.7109375" style="4" customWidth="1"/>
    <col min="9" max="9" width="11.28125" style="4" customWidth="1"/>
    <col min="10" max="10" width="14.00390625" style="4" customWidth="1"/>
    <col min="11" max="11" width="10.7109375" style="4" customWidth="1"/>
    <col min="12" max="12" width="10.28125" style="4" customWidth="1"/>
    <col min="13" max="16384" width="9.140625" style="4" customWidth="1"/>
  </cols>
  <sheetData>
    <row r="1" ht="16.5" customHeight="1">
      <c r="F1" s="98" t="s">
        <v>177</v>
      </c>
    </row>
    <row r="2" spans="2:6" ht="18.75" customHeight="1">
      <c r="B2" s="726" t="s">
        <v>454</v>
      </c>
      <c r="C2" s="726"/>
      <c r="F2" s="378" t="s">
        <v>10</v>
      </c>
    </row>
    <row r="6" spans="1:6" ht="30.75" customHeight="1">
      <c r="A6" s="729" t="s">
        <v>268</v>
      </c>
      <c r="B6" s="729"/>
      <c r="C6" s="729"/>
      <c r="D6" s="729"/>
      <c r="E6" s="729"/>
      <c r="F6" s="729"/>
    </row>
    <row r="7" spans="1:6" ht="38.25" customHeight="1">
      <c r="A7" s="729" t="s">
        <v>392</v>
      </c>
      <c r="B7" s="729"/>
      <c r="C7" s="729"/>
      <c r="D7" s="729"/>
      <c r="E7" s="729"/>
      <c r="F7" s="729"/>
    </row>
    <row r="8" spans="1:6" ht="21" customHeight="1">
      <c r="A8" s="380"/>
      <c r="B8" s="380"/>
      <c r="C8" s="380"/>
      <c r="D8" s="380"/>
      <c r="E8" s="380"/>
      <c r="F8" s="380"/>
    </row>
    <row r="9" spans="1:6" ht="23.25" customHeight="1">
      <c r="A9" s="380"/>
      <c r="B9" s="380"/>
      <c r="C9" s="380"/>
      <c r="D9" s="380"/>
      <c r="E9" s="380"/>
      <c r="F9" s="380"/>
    </row>
    <row r="10" spans="1:6" ht="19.5" customHeight="1">
      <c r="A10" s="692" t="s">
        <v>6</v>
      </c>
      <c r="B10" s="692" t="s">
        <v>275</v>
      </c>
      <c r="C10" s="730" t="s">
        <v>253</v>
      </c>
      <c r="D10" s="731"/>
      <c r="E10" s="731"/>
      <c r="F10" s="732"/>
    </row>
    <row r="11" spans="1:6" ht="61.5" customHeight="1">
      <c r="A11" s="693"/>
      <c r="B11" s="693"/>
      <c r="C11" s="379" t="s">
        <v>269</v>
      </c>
      <c r="D11" s="379" t="s">
        <v>274</v>
      </c>
      <c r="E11" s="379" t="s">
        <v>273</v>
      </c>
      <c r="F11" s="384" t="s">
        <v>270</v>
      </c>
    </row>
    <row r="12" spans="1:6" ht="18" customHeight="1">
      <c r="A12" s="383" t="s">
        <v>271</v>
      </c>
      <c r="B12" s="383">
        <v>1</v>
      </c>
      <c r="C12" s="383">
        <v>2</v>
      </c>
      <c r="D12" s="383">
        <v>3</v>
      </c>
      <c r="E12" s="383">
        <v>4</v>
      </c>
      <c r="F12" s="383">
        <v>5</v>
      </c>
    </row>
    <row r="13" spans="1:6" ht="33" customHeight="1">
      <c r="A13" s="385">
        <v>1</v>
      </c>
      <c r="B13" s="389" t="s">
        <v>276</v>
      </c>
      <c r="C13" s="387">
        <v>7</v>
      </c>
      <c r="D13" s="387">
        <v>24</v>
      </c>
      <c r="E13" s="387">
        <v>600</v>
      </c>
      <c r="F13" s="388">
        <f>C13*D13*E13/1000</f>
        <v>100.8</v>
      </c>
    </row>
    <row r="14" spans="1:6" ht="45" customHeight="1">
      <c r="A14" s="385">
        <v>2</v>
      </c>
      <c r="B14" s="389" t="s">
        <v>277</v>
      </c>
      <c r="C14" s="387"/>
      <c r="D14" s="387"/>
      <c r="E14" s="387"/>
      <c r="F14" s="388">
        <f>C14*D14*E14/1000</f>
        <v>0</v>
      </c>
    </row>
    <row r="15" spans="1:6" ht="34.5" customHeight="1">
      <c r="A15" s="381"/>
      <c r="B15" s="382" t="s">
        <v>70</v>
      </c>
      <c r="C15" s="386">
        <f>SUM(C13:C14)</f>
        <v>7</v>
      </c>
      <c r="D15" s="386" t="s">
        <v>1</v>
      </c>
      <c r="E15" s="386" t="s">
        <v>1</v>
      </c>
      <c r="F15" s="386">
        <f>SUM(F13:F14)</f>
        <v>100.8</v>
      </c>
    </row>
    <row r="18" spans="2:6" ht="31.5" customHeight="1">
      <c r="B18" s="727"/>
      <c r="C18" s="727"/>
      <c r="E18" s="727"/>
      <c r="F18" s="727"/>
    </row>
    <row r="20" ht="13.5">
      <c r="D20" s="639"/>
    </row>
    <row r="28" spans="2:6" ht="22.5" customHeight="1">
      <c r="B28" s="728"/>
      <c r="C28" s="728"/>
      <c r="D28" s="728"/>
      <c r="E28" s="728"/>
      <c r="F28" s="728"/>
    </row>
    <row r="29" spans="2:6" ht="44.25" customHeight="1">
      <c r="B29" s="728"/>
      <c r="C29" s="728"/>
      <c r="D29" s="728"/>
      <c r="E29" s="728"/>
      <c r="F29" s="728"/>
    </row>
  </sheetData>
  <sheetProtection/>
  <mergeCells count="9">
    <mergeCell ref="B2:C2"/>
    <mergeCell ref="B18:C18"/>
    <mergeCell ref="E18:F18"/>
    <mergeCell ref="B28:F29"/>
    <mergeCell ref="A6:F6"/>
    <mergeCell ref="A7:F7"/>
    <mergeCell ref="A10:A11"/>
    <mergeCell ref="B10:B11"/>
    <mergeCell ref="C10:F10"/>
  </mergeCells>
  <printOptions/>
  <pageMargins left="0.35" right="0.35" top="0.29" bottom="0.37" header="0.21" footer="0.16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28">
      <selection activeCell="J11" sqref="J11"/>
    </sheetView>
  </sheetViews>
  <sheetFormatPr defaultColWidth="9.140625" defaultRowHeight="12.75"/>
  <cols>
    <col min="1" max="1" width="6.28125" style="3" customWidth="1"/>
    <col min="2" max="2" width="70.8515625" style="4" customWidth="1"/>
    <col min="3" max="3" width="18.00390625" style="4" customWidth="1"/>
    <col min="4" max="16384" width="9.140625" style="4" customWidth="1"/>
  </cols>
  <sheetData>
    <row r="1" spans="1:3" s="27" customFormat="1" ht="14.25">
      <c r="A1" s="26"/>
      <c r="C1" s="34" t="s">
        <v>126</v>
      </c>
    </row>
    <row r="2" spans="1:3" s="27" customFormat="1" ht="14.25">
      <c r="A2" s="26"/>
      <c r="C2" s="367" t="s">
        <v>10</v>
      </c>
    </row>
    <row r="3" spans="1:3" s="27" customFormat="1" ht="14.25" thickBot="1">
      <c r="A3" s="26"/>
      <c r="B3" s="18" t="s">
        <v>454</v>
      </c>
      <c r="C3" s="18"/>
    </row>
    <row r="4" spans="1:8" s="265" customFormat="1" ht="17.25" customHeight="1">
      <c r="A4" s="238"/>
      <c r="B4" s="736" t="s">
        <v>11</v>
      </c>
      <c r="C4" s="736"/>
      <c r="D4" s="243"/>
      <c r="E4" s="243"/>
      <c r="F4" s="243"/>
      <c r="G4" s="243"/>
      <c r="H4" s="243"/>
    </row>
    <row r="5" spans="1:3" s="27" customFormat="1" ht="24" customHeight="1">
      <c r="A5" s="734" t="s">
        <v>96</v>
      </c>
      <c r="B5" s="734"/>
      <c r="C5" s="734"/>
    </row>
    <row r="6" spans="1:3" s="27" customFormat="1" ht="13.5">
      <c r="A6" s="735" t="s">
        <v>393</v>
      </c>
      <c r="B6" s="735"/>
      <c r="C6" s="735"/>
    </row>
    <row r="7" spans="1:3" s="138" customFormat="1" ht="13.5">
      <c r="A7" s="26"/>
      <c r="B7" s="136"/>
      <c r="C7" s="136"/>
    </row>
    <row r="8" spans="1:3" s="139" customFormat="1" ht="13.5">
      <c r="A8" s="26"/>
      <c r="B8" s="368" t="s">
        <v>846</v>
      </c>
      <c r="C8" s="368"/>
    </row>
    <row r="9" spans="1:3" s="139" customFormat="1" ht="36" customHeight="1">
      <c r="A9" s="26"/>
      <c r="B9" s="733" t="s">
        <v>412</v>
      </c>
      <c r="C9" s="733"/>
    </row>
    <row r="10" spans="1:3" s="139" customFormat="1" ht="13.5">
      <c r="A10" s="26"/>
      <c r="B10" s="136"/>
      <c r="C10" s="136"/>
    </row>
    <row r="11" spans="1:3" s="139" customFormat="1" ht="35.25" customHeight="1">
      <c r="A11" s="173" t="s">
        <v>71</v>
      </c>
      <c r="B11" s="25" t="s">
        <v>122</v>
      </c>
      <c r="C11" s="25" t="s">
        <v>123</v>
      </c>
    </row>
    <row r="12" spans="1:3" s="139" customFormat="1" ht="13.5">
      <c r="A12" s="173">
        <v>1</v>
      </c>
      <c r="B12" s="25">
        <v>2</v>
      </c>
      <c r="C12" s="25">
        <v>3</v>
      </c>
    </row>
    <row r="13" spans="1:3" ht="14.25">
      <c r="A13" s="173" t="s">
        <v>2</v>
      </c>
      <c r="B13" s="192" t="s">
        <v>228</v>
      </c>
      <c r="C13" s="173">
        <f>+C14+C15</f>
        <v>3</v>
      </c>
    </row>
    <row r="14" spans="1:3" ht="13.5">
      <c r="A14" s="173"/>
      <c r="B14" s="369" t="s">
        <v>236</v>
      </c>
      <c r="C14" s="173">
        <v>1</v>
      </c>
    </row>
    <row r="15" spans="1:3" ht="13.5">
      <c r="A15" s="173"/>
      <c r="B15" s="369" t="s">
        <v>237</v>
      </c>
      <c r="C15" s="173">
        <v>2</v>
      </c>
    </row>
    <row r="16" spans="1:3" ht="14.25">
      <c r="A16" s="173" t="s">
        <v>3</v>
      </c>
      <c r="B16" s="192" t="s">
        <v>168</v>
      </c>
      <c r="C16" s="173">
        <f>+C17+C18+C19</f>
        <v>1</v>
      </c>
    </row>
    <row r="17" spans="1:3" ht="13.5">
      <c r="A17" s="173"/>
      <c r="B17" s="369" t="s">
        <v>169</v>
      </c>
      <c r="C17" s="173">
        <v>1</v>
      </c>
    </row>
    <row r="18" spans="1:3" ht="13.5">
      <c r="A18" s="173"/>
      <c r="B18" s="369" t="s">
        <v>170</v>
      </c>
      <c r="C18" s="173"/>
    </row>
    <row r="19" spans="1:3" ht="13.5">
      <c r="A19" s="173"/>
      <c r="B19" s="369" t="s">
        <v>171</v>
      </c>
      <c r="C19" s="173"/>
    </row>
    <row r="20" spans="1:3" ht="13.5">
      <c r="A20" s="370"/>
      <c r="B20" s="371"/>
      <c r="C20" s="370"/>
    </row>
    <row r="21" spans="1:3" ht="13.5">
      <c r="A21" s="173"/>
      <c r="B21" s="369" t="s">
        <v>219</v>
      </c>
      <c r="C21" s="173">
        <v>1</v>
      </c>
    </row>
    <row r="22" spans="1:3" ht="13.5">
      <c r="A22" s="173"/>
      <c r="B22" s="369" t="s">
        <v>220</v>
      </c>
      <c r="C22" s="173"/>
    </row>
    <row r="23" spans="1:3" ht="35.25" customHeight="1">
      <c r="A23" s="173" t="s">
        <v>4</v>
      </c>
      <c r="B23" s="192" t="s">
        <v>221</v>
      </c>
      <c r="C23" s="173">
        <f>+C25++C40</f>
        <v>36</v>
      </c>
    </row>
    <row r="24" spans="1:3" ht="14.25">
      <c r="A24" s="173"/>
      <c r="B24" s="192" t="s">
        <v>222</v>
      </c>
      <c r="C24" s="173"/>
    </row>
    <row r="25" spans="1:3" ht="14.25">
      <c r="A25" s="178" t="s">
        <v>225</v>
      </c>
      <c r="B25" s="24" t="s">
        <v>223</v>
      </c>
      <c r="C25" s="173">
        <f>+C26+C33</f>
        <v>31</v>
      </c>
    </row>
    <row r="26" spans="1:3" ht="14.25">
      <c r="A26" s="173"/>
      <c r="B26" s="192" t="s">
        <v>124</v>
      </c>
      <c r="C26" s="173">
        <f>SUM(C28:C31)</f>
        <v>21</v>
      </c>
    </row>
    <row r="27" spans="1:8" ht="13.5">
      <c r="A27" s="173"/>
      <c r="B27" s="75" t="s">
        <v>117</v>
      </c>
      <c r="C27" s="173"/>
      <c r="F27" s="372"/>
      <c r="H27" s="373"/>
    </row>
    <row r="28" spans="1:3" ht="13.5">
      <c r="A28" s="173">
        <v>1</v>
      </c>
      <c r="B28" s="75" t="s">
        <v>489</v>
      </c>
      <c r="C28" s="173">
        <v>12</v>
      </c>
    </row>
    <row r="29" spans="1:3" ht="13.5">
      <c r="A29" s="173">
        <v>2</v>
      </c>
      <c r="B29" s="75" t="s">
        <v>490</v>
      </c>
      <c r="C29" s="173">
        <v>9</v>
      </c>
    </row>
    <row r="30" spans="1:3" ht="13.5">
      <c r="A30" s="173">
        <v>3</v>
      </c>
      <c r="B30" s="75"/>
      <c r="C30" s="173"/>
    </row>
    <row r="31" spans="1:3" ht="13.5">
      <c r="A31" s="173">
        <v>4</v>
      </c>
      <c r="B31" s="75"/>
      <c r="C31" s="173"/>
    </row>
    <row r="32" spans="1:3" ht="14.25">
      <c r="A32" s="173"/>
      <c r="B32" s="76"/>
      <c r="C32" s="173"/>
    </row>
    <row r="33" spans="1:3" ht="14.25">
      <c r="A33" s="173"/>
      <c r="B33" s="192" t="s">
        <v>125</v>
      </c>
      <c r="C33" s="173">
        <f>SUM(C35:C38)</f>
        <v>10</v>
      </c>
    </row>
    <row r="34" spans="1:3" ht="13.5">
      <c r="A34" s="173"/>
      <c r="B34" s="75" t="s">
        <v>117</v>
      </c>
      <c r="C34" s="173"/>
    </row>
    <row r="35" spans="1:3" ht="13.5">
      <c r="A35" s="173">
        <v>1</v>
      </c>
      <c r="B35" s="75" t="s">
        <v>491</v>
      </c>
      <c r="C35" s="173">
        <v>2</v>
      </c>
    </row>
    <row r="36" spans="1:3" ht="13.5">
      <c r="A36" s="173">
        <v>2</v>
      </c>
      <c r="B36" s="75" t="s">
        <v>492</v>
      </c>
      <c r="C36" s="173">
        <v>4</v>
      </c>
    </row>
    <row r="37" spans="1:3" ht="13.5">
      <c r="A37" s="173">
        <v>3</v>
      </c>
      <c r="B37" s="75" t="s">
        <v>493</v>
      </c>
      <c r="C37" s="173">
        <v>2</v>
      </c>
    </row>
    <row r="38" spans="1:3" ht="13.5">
      <c r="A38" s="173">
        <v>4</v>
      </c>
      <c r="B38" s="75" t="s">
        <v>496</v>
      </c>
      <c r="C38" s="173">
        <v>2</v>
      </c>
    </row>
    <row r="39" spans="1:3" ht="13.5">
      <c r="A39" s="173"/>
      <c r="B39" s="75"/>
      <c r="C39" s="173"/>
    </row>
    <row r="40" spans="1:3" ht="14.25">
      <c r="A40" s="178" t="s">
        <v>224</v>
      </c>
      <c r="B40" s="24" t="s">
        <v>226</v>
      </c>
      <c r="C40" s="173">
        <f>+C41+C48</f>
        <v>5</v>
      </c>
    </row>
    <row r="41" spans="1:3" ht="14.25">
      <c r="A41" s="173"/>
      <c r="B41" s="192" t="s">
        <v>124</v>
      </c>
      <c r="C41" s="173">
        <f>SUM(C43:C46)</f>
        <v>0</v>
      </c>
    </row>
    <row r="42" spans="1:8" ht="13.5">
      <c r="A42" s="173"/>
      <c r="B42" s="75" t="s">
        <v>117</v>
      </c>
      <c r="C42" s="173"/>
      <c r="F42" s="372"/>
      <c r="H42" s="373"/>
    </row>
    <row r="43" spans="1:3" ht="13.5">
      <c r="A43" s="173">
        <v>1</v>
      </c>
      <c r="B43" s="75"/>
      <c r="C43" s="173"/>
    </row>
    <row r="44" spans="1:3" ht="13.5">
      <c r="A44" s="173">
        <v>2</v>
      </c>
      <c r="B44" s="75"/>
      <c r="C44" s="173"/>
    </row>
    <row r="45" spans="1:3" ht="13.5">
      <c r="A45" s="173">
        <v>3</v>
      </c>
      <c r="B45" s="75"/>
      <c r="C45" s="173"/>
    </row>
    <row r="46" spans="1:3" ht="13.5">
      <c r="A46" s="173">
        <v>4</v>
      </c>
      <c r="B46" s="75"/>
      <c r="C46" s="173"/>
    </row>
    <row r="47" spans="1:3" ht="14.25">
      <c r="A47" s="173"/>
      <c r="B47" s="76"/>
      <c r="C47" s="173"/>
    </row>
    <row r="48" spans="1:3" ht="14.25">
      <c r="A48" s="173"/>
      <c r="B48" s="192" t="s">
        <v>125</v>
      </c>
      <c r="C48" s="173">
        <f>SUM(C50:C53)</f>
        <v>5</v>
      </c>
    </row>
    <row r="49" spans="1:3" ht="13.5">
      <c r="A49" s="173"/>
      <c r="B49" s="75" t="s">
        <v>117</v>
      </c>
      <c r="C49" s="173"/>
    </row>
    <row r="50" spans="1:3" ht="13.5">
      <c r="A50" s="173">
        <v>1</v>
      </c>
      <c r="B50" s="75" t="s">
        <v>494</v>
      </c>
      <c r="C50" s="173">
        <v>2</v>
      </c>
    </row>
    <row r="51" spans="1:3" ht="13.5">
      <c r="A51" s="173">
        <v>2</v>
      </c>
      <c r="B51" s="75" t="s">
        <v>495</v>
      </c>
      <c r="C51" s="173">
        <v>3</v>
      </c>
    </row>
    <row r="52" spans="1:3" ht="13.5">
      <c r="A52" s="173">
        <v>3</v>
      </c>
      <c r="B52" s="75"/>
      <c r="C52" s="173"/>
    </row>
    <row r="53" spans="1:3" ht="13.5">
      <c r="A53" s="173">
        <v>4</v>
      </c>
      <c r="B53" s="75"/>
      <c r="C53" s="173"/>
    </row>
    <row r="54" spans="1:3" ht="14.25">
      <c r="A54" s="173"/>
      <c r="B54" s="192"/>
      <c r="C54" s="374"/>
    </row>
    <row r="55" spans="1:3" ht="14.25">
      <c r="A55" s="173" t="s">
        <v>173</v>
      </c>
      <c r="B55" s="192" t="s">
        <v>227</v>
      </c>
      <c r="C55" s="173">
        <f>SUM(C57:C60)</f>
        <v>0</v>
      </c>
    </row>
    <row r="56" spans="1:3" ht="13.5">
      <c r="A56" s="173"/>
      <c r="B56" s="75" t="s">
        <v>117</v>
      </c>
      <c r="C56" s="173"/>
    </row>
    <row r="57" spans="1:3" ht="13.5">
      <c r="A57" s="173">
        <v>1</v>
      </c>
      <c r="B57" s="75"/>
      <c r="C57" s="173"/>
    </row>
    <row r="58" spans="1:3" ht="13.5">
      <c r="A58" s="173">
        <v>2</v>
      </c>
      <c r="B58" s="75"/>
      <c r="C58" s="173"/>
    </row>
    <row r="59" spans="1:3" ht="13.5">
      <c r="A59" s="173">
        <v>3</v>
      </c>
      <c r="B59" s="75"/>
      <c r="C59" s="173"/>
    </row>
    <row r="60" spans="1:3" ht="13.5">
      <c r="A60" s="173">
        <v>4</v>
      </c>
      <c r="B60" s="75"/>
      <c r="C60" s="173"/>
    </row>
    <row r="61" spans="1:3" ht="28.5">
      <c r="A61" s="173" t="s">
        <v>8</v>
      </c>
      <c r="B61" s="24" t="s">
        <v>172</v>
      </c>
      <c r="C61" s="173">
        <v>2</v>
      </c>
    </row>
    <row r="62" spans="1:3" ht="13.5">
      <c r="A62" s="173"/>
      <c r="B62" s="75"/>
      <c r="C62" s="173"/>
    </row>
    <row r="63" spans="1:3" s="183" customFormat="1" ht="30.75" customHeight="1">
      <c r="A63" s="178"/>
      <c r="B63" s="375" t="s">
        <v>174</v>
      </c>
      <c r="C63" s="178">
        <f>+C13+C16+C21+C22+C23+C55+C61</f>
        <v>43</v>
      </c>
    </row>
  </sheetData>
  <sheetProtection/>
  <mergeCells count="4">
    <mergeCell ref="B9:C9"/>
    <mergeCell ref="A5:C5"/>
    <mergeCell ref="A6:C6"/>
    <mergeCell ref="B4:C4"/>
  </mergeCells>
  <printOptions/>
  <pageMargins left="0.24" right="0.35" top="0.37" bottom="0.4" header="0.21" footer="0.19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107"/>
  <sheetViews>
    <sheetView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10.7109375" style="3" customWidth="1"/>
    <col min="2" max="2" width="27.421875" style="15" customWidth="1"/>
    <col min="3" max="3" width="15.7109375" style="15" customWidth="1"/>
    <col min="4" max="4" width="15.7109375" style="4" customWidth="1"/>
    <col min="5" max="5" width="25.421875" style="4" customWidth="1"/>
    <col min="6" max="6" width="15.7109375" style="4" customWidth="1"/>
    <col min="7" max="7" width="11.140625" style="4" customWidth="1"/>
    <col min="8" max="8" width="15.00390625" style="4" customWidth="1"/>
    <col min="9" max="9" width="11.00390625" style="4" customWidth="1"/>
    <col min="10" max="10" width="15.00390625" style="4" customWidth="1"/>
    <col min="11" max="11" width="13.8515625" style="4" customWidth="1"/>
    <col min="12" max="12" width="10.8515625" style="4" customWidth="1"/>
    <col min="13" max="13" width="14.7109375" style="4" customWidth="1"/>
    <col min="14" max="14" width="11.7109375" style="4" customWidth="1"/>
    <col min="15" max="15" width="15.00390625" style="4" customWidth="1"/>
    <col min="16" max="16" width="10.28125" style="4" customWidth="1"/>
    <col min="17" max="17" width="11.8515625" style="4" customWidth="1"/>
    <col min="18" max="18" width="12.421875" style="4" customWidth="1"/>
    <col min="19" max="19" width="10.57421875" style="4" customWidth="1"/>
    <col min="20" max="20" width="12.57421875" style="4" customWidth="1"/>
    <col min="21" max="21" width="11.57421875" style="4" customWidth="1"/>
    <col min="22" max="22" width="11.421875" style="4" customWidth="1"/>
    <col min="23" max="23" width="10.57421875" style="4" customWidth="1"/>
    <col min="24" max="24" width="9.28125" style="4" customWidth="1"/>
    <col min="25" max="25" width="12.00390625" style="4" customWidth="1"/>
    <col min="26" max="26" width="11.140625" style="4" customWidth="1"/>
    <col min="27" max="27" width="15.00390625" style="4" customWidth="1"/>
    <col min="28" max="28" width="11.00390625" style="4" customWidth="1"/>
    <col min="29" max="29" width="15.00390625" style="4" customWidth="1"/>
    <col min="30" max="30" width="13.8515625" style="4" customWidth="1"/>
    <col min="31" max="31" width="10.8515625" style="4" customWidth="1"/>
    <col min="32" max="32" width="14.7109375" style="4" customWidth="1"/>
    <col min="33" max="33" width="11.140625" style="4" customWidth="1"/>
    <col min="34" max="34" width="15.00390625" style="4" customWidth="1"/>
    <col min="35" max="35" width="11.00390625" style="4" customWidth="1"/>
    <col min="36" max="36" width="15.00390625" style="4" customWidth="1"/>
    <col min="37" max="37" width="13.8515625" style="4" customWidth="1"/>
    <col min="38" max="38" width="10.8515625" style="4" customWidth="1"/>
    <col min="39" max="39" width="14.7109375" style="4" customWidth="1"/>
    <col min="40" max="16384" width="9.140625" style="4" customWidth="1"/>
  </cols>
  <sheetData>
    <row r="1" spans="1:40" ht="28.5" customHeight="1">
      <c r="A1" s="26"/>
      <c r="B1" s="354" t="s">
        <v>129</v>
      </c>
      <c r="C1" s="354"/>
      <c r="D1" s="27"/>
      <c r="E1" s="27"/>
      <c r="F1" s="27"/>
      <c r="G1" s="27"/>
      <c r="H1" s="27"/>
      <c r="I1" s="27"/>
      <c r="J1" s="27"/>
      <c r="K1" s="99"/>
      <c r="L1" s="27"/>
      <c r="M1" s="98" t="s">
        <v>139</v>
      </c>
      <c r="N1" s="99"/>
      <c r="O1" s="27"/>
      <c r="P1" s="27"/>
      <c r="Q1" s="27"/>
      <c r="R1" s="27"/>
      <c r="S1" s="99"/>
      <c r="T1" s="99"/>
      <c r="U1" s="99"/>
      <c r="V1" s="27"/>
      <c r="W1" s="98"/>
      <c r="X1" s="99"/>
      <c r="Y1" s="27"/>
      <c r="Z1" s="138"/>
      <c r="AA1" s="138"/>
      <c r="AB1" s="138"/>
      <c r="AC1" s="138"/>
      <c r="AD1" s="17"/>
      <c r="AE1" s="138"/>
      <c r="AF1" s="98"/>
      <c r="AG1" s="138"/>
      <c r="AH1" s="138"/>
      <c r="AI1" s="138"/>
      <c r="AJ1" s="138"/>
      <c r="AK1" s="17"/>
      <c r="AL1" s="138"/>
      <c r="AM1" s="98"/>
      <c r="AN1" s="139"/>
    </row>
    <row r="2" spans="1:40" ht="18" customHeight="1">
      <c r="A2" s="26"/>
      <c r="B2" s="737" t="s">
        <v>454</v>
      </c>
      <c r="C2" s="737"/>
      <c r="D2" s="737"/>
      <c r="E2" s="737"/>
      <c r="F2" s="550"/>
      <c r="G2" s="550"/>
      <c r="H2" s="550"/>
      <c r="I2" s="550"/>
      <c r="J2" s="550"/>
      <c r="K2" s="550"/>
      <c r="L2" s="106"/>
      <c r="M2" s="266" t="s">
        <v>10</v>
      </c>
      <c r="N2" s="106"/>
      <c r="O2" s="6"/>
      <c r="P2" s="6"/>
      <c r="Q2" s="106"/>
      <c r="R2" s="106"/>
      <c r="S2" s="6"/>
      <c r="T2" s="136"/>
      <c r="U2" s="682"/>
      <c r="V2" s="682"/>
      <c r="W2" s="682"/>
      <c r="X2" s="682"/>
      <c r="Y2" s="682"/>
      <c r="Z2" s="5"/>
      <c r="AA2" s="6"/>
      <c r="AB2" s="6"/>
      <c r="AC2" s="6"/>
      <c r="AD2" s="139"/>
      <c r="AE2" s="106"/>
      <c r="AF2" s="266"/>
      <c r="AG2" s="5"/>
      <c r="AH2" s="6"/>
      <c r="AI2" s="6"/>
      <c r="AJ2" s="6"/>
      <c r="AK2" s="139"/>
      <c r="AL2" s="106"/>
      <c r="AM2" s="266"/>
      <c r="AN2" s="139"/>
    </row>
    <row r="3" spans="1:39" s="139" customFormat="1" ht="25.5" customHeight="1">
      <c r="A3" s="26"/>
      <c r="B3" s="355" t="s">
        <v>11</v>
      </c>
      <c r="C3" s="355"/>
      <c r="D3" s="99"/>
      <c r="E3" s="99"/>
      <c r="F3" s="99"/>
      <c r="G3" s="137"/>
      <c r="H3" s="99"/>
      <c r="I3" s="27"/>
      <c r="J3" s="27"/>
      <c r="K3" s="27"/>
      <c r="L3" s="27"/>
      <c r="M3" s="36" t="s">
        <v>127</v>
      </c>
      <c r="N3" s="30"/>
      <c r="O3" s="99"/>
      <c r="P3" s="27"/>
      <c r="Q3" s="27"/>
      <c r="R3" s="27"/>
      <c r="S3" s="27"/>
      <c r="T3" s="138"/>
      <c r="U3" s="27"/>
      <c r="V3" s="27"/>
      <c r="W3" s="27"/>
      <c r="X3" s="27"/>
      <c r="Y3" s="36"/>
      <c r="Z3" s="137"/>
      <c r="AA3" s="99"/>
      <c r="AB3" s="27"/>
      <c r="AC3" s="27"/>
      <c r="AD3" s="27"/>
      <c r="AE3" s="27"/>
      <c r="AF3" s="36"/>
      <c r="AG3" s="137"/>
      <c r="AH3" s="99"/>
      <c r="AI3" s="27"/>
      <c r="AJ3" s="27"/>
      <c r="AK3" s="27"/>
      <c r="AL3" s="27"/>
      <c r="AM3" s="36"/>
    </row>
    <row r="4" spans="1:39" s="252" customFormat="1" ht="14.25" customHeight="1">
      <c r="A4" s="194"/>
      <c r="B4" s="356"/>
      <c r="C4" s="754" t="s">
        <v>408</v>
      </c>
      <c r="D4" s="754" t="s">
        <v>328</v>
      </c>
      <c r="E4" s="250"/>
      <c r="F4" s="251"/>
      <c r="G4" s="253"/>
      <c r="H4" s="251"/>
      <c r="I4" s="251"/>
      <c r="J4" s="253" t="s">
        <v>256</v>
      </c>
      <c r="K4" s="251"/>
      <c r="L4" s="251"/>
      <c r="M4" s="270"/>
      <c r="N4" s="268"/>
      <c r="O4" s="251"/>
      <c r="P4" s="268"/>
      <c r="Q4" s="268" t="s">
        <v>248</v>
      </c>
      <c r="R4" s="268"/>
      <c r="S4" s="268"/>
      <c r="T4" s="269"/>
      <c r="U4" s="740" t="s">
        <v>128</v>
      </c>
      <c r="V4" s="741"/>
      <c r="W4" s="741"/>
      <c r="X4" s="741"/>
      <c r="Y4" s="742"/>
      <c r="Z4" s="746" t="s">
        <v>263</v>
      </c>
      <c r="AA4" s="747"/>
      <c r="AB4" s="747"/>
      <c r="AC4" s="747"/>
      <c r="AD4" s="747"/>
      <c r="AE4" s="747"/>
      <c r="AF4" s="748"/>
      <c r="AG4" s="743" t="s">
        <v>325</v>
      </c>
      <c r="AH4" s="744"/>
      <c r="AI4" s="744"/>
      <c r="AJ4" s="744"/>
      <c r="AK4" s="744"/>
      <c r="AL4" s="744"/>
      <c r="AM4" s="745"/>
    </row>
    <row r="5" spans="1:39" s="139" customFormat="1" ht="129" customHeight="1">
      <c r="A5" s="177" t="s">
        <v>71</v>
      </c>
      <c r="B5" s="247" t="s">
        <v>130</v>
      </c>
      <c r="C5" s="755"/>
      <c r="D5" s="755"/>
      <c r="E5" s="51" t="s">
        <v>131</v>
      </c>
      <c r="F5" s="51" t="s">
        <v>132</v>
      </c>
      <c r="G5" s="51" t="s">
        <v>123</v>
      </c>
      <c r="H5" s="331" t="s">
        <v>254</v>
      </c>
      <c r="I5" s="332" t="s">
        <v>255</v>
      </c>
      <c r="J5" s="234" t="s">
        <v>161</v>
      </c>
      <c r="K5" s="51" t="s">
        <v>637</v>
      </c>
      <c r="L5" s="51" t="s">
        <v>638</v>
      </c>
      <c r="M5" s="51" t="s">
        <v>333</v>
      </c>
      <c r="N5" s="51" t="s">
        <v>123</v>
      </c>
      <c r="O5" s="331" t="s">
        <v>251</v>
      </c>
      <c r="P5" s="332" t="s">
        <v>250</v>
      </c>
      <c r="Q5" s="51" t="s">
        <v>141</v>
      </c>
      <c r="R5" s="51" t="s">
        <v>637</v>
      </c>
      <c r="S5" s="51" t="s">
        <v>638</v>
      </c>
      <c r="T5" s="51" t="s">
        <v>332</v>
      </c>
      <c r="U5" s="51" t="s">
        <v>123</v>
      </c>
      <c r="V5" s="51" t="s">
        <v>141</v>
      </c>
      <c r="W5" s="51" t="s">
        <v>637</v>
      </c>
      <c r="X5" s="51" t="s">
        <v>638</v>
      </c>
      <c r="Y5" s="51" t="s">
        <v>336</v>
      </c>
      <c r="Z5" s="51" t="s">
        <v>123</v>
      </c>
      <c r="AA5" s="331" t="s">
        <v>264</v>
      </c>
      <c r="AB5" s="332" t="s">
        <v>265</v>
      </c>
      <c r="AC5" s="51" t="s">
        <v>141</v>
      </c>
      <c r="AD5" s="51" t="s">
        <v>637</v>
      </c>
      <c r="AE5" s="51" t="s">
        <v>638</v>
      </c>
      <c r="AF5" s="51" t="s">
        <v>334</v>
      </c>
      <c r="AG5" s="51" t="s">
        <v>123</v>
      </c>
      <c r="AH5" s="331" t="s">
        <v>329</v>
      </c>
      <c r="AI5" s="332" t="s">
        <v>330</v>
      </c>
      <c r="AJ5" s="51" t="s">
        <v>141</v>
      </c>
      <c r="AK5" s="51" t="s">
        <v>637</v>
      </c>
      <c r="AL5" s="51" t="s">
        <v>638</v>
      </c>
      <c r="AM5" s="51" t="s">
        <v>335</v>
      </c>
    </row>
    <row r="6" spans="1:39" s="31" customFormat="1" ht="12.75">
      <c r="A6" s="90">
        <v>1</v>
      </c>
      <c r="B6" s="90">
        <v>2</v>
      </c>
      <c r="C6" s="90"/>
      <c r="D6" s="90">
        <v>3</v>
      </c>
      <c r="E6" s="90">
        <v>4</v>
      </c>
      <c r="F6" s="90">
        <v>5</v>
      </c>
      <c r="G6" s="248">
        <v>6</v>
      </c>
      <c r="H6" s="90">
        <v>7</v>
      </c>
      <c r="I6" s="248">
        <v>8</v>
      </c>
      <c r="J6" s="90">
        <v>9</v>
      </c>
      <c r="K6" s="248">
        <v>10</v>
      </c>
      <c r="L6" s="90">
        <v>11</v>
      </c>
      <c r="M6" s="248">
        <v>12</v>
      </c>
      <c r="N6" s="90">
        <v>13</v>
      </c>
      <c r="O6" s="248">
        <v>14</v>
      </c>
      <c r="P6" s="90">
        <v>15</v>
      </c>
      <c r="Q6" s="248">
        <v>16</v>
      </c>
      <c r="R6" s="90">
        <v>17</v>
      </c>
      <c r="S6" s="248">
        <v>18</v>
      </c>
      <c r="T6" s="90">
        <v>19</v>
      </c>
      <c r="U6" s="248">
        <v>20</v>
      </c>
      <c r="V6" s="90">
        <v>21</v>
      </c>
      <c r="W6" s="248">
        <v>22</v>
      </c>
      <c r="X6" s="90">
        <v>23</v>
      </c>
      <c r="Y6" s="248">
        <v>24</v>
      </c>
      <c r="Z6" s="90">
        <v>25</v>
      </c>
      <c r="AA6" s="248">
        <v>26</v>
      </c>
      <c r="AB6" s="90">
        <v>27</v>
      </c>
      <c r="AC6" s="248">
        <v>28</v>
      </c>
      <c r="AD6" s="90">
        <v>29</v>
      </c>
      <c r="AE6" s="248">
        <v>30</v>
      </c>
      <c r="AF6" s="90">
        <v>31</v>
      </c>
      <c r="AG6" s="248">
        <v>32</v>
      </c>
      <c r="AH6" s="90">
        <v>33</v>
      </c>
      <c r="AI6" s="248">
        <v>34</v>
      </c>
      <c r="AJ6" s="90">
        <v>35</v>
      </c>
      <c r="AK6" s="248">
        <v>36</v>
      </c>
      <c r="AL6" s="90">
        <v>37</v>
      </c>
      <c r="AM6" s="248">
        <v>38</v>
      </c>
    </row>
    <row r="7" spans="1:39" ht="37.5" customHeight="1">
      <c r="A7" s="178" t="s">
        <v>2</v>
      </c>
      <c r="B7" s="357" t="s">
        <v>228</v>
      </c>
      <c r="C7" s="357"/>
      <c r="D7" s="180"/>
      <c r="E7" s="180"/>
      <c r="F7" s="180"/>
      <c r="G7" s="179"/>
      <c r="H7" s="180"/>
      <c r="I7" s="180"/>
      <c r="J7" s="180"/>
      <c r="K7" s="180"/>
      <c r="L7" s="180"/>
      <c r="M7" s="180"/>
      <c r="N7" s="179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79"/>
      <c r="AA7" s="180"/>
      <c r="AB7" s="180"/>
      <c r="AC7" s="180"/>
      <c r="AD7" s="180"/>
      <c r="AE7" s="180"/>
      <c r="AF7" s="180"/>
      <c r="AG7" s="179"/>
      <c r="AH7" s="180"/>
      <c r="AI7" s="180"/>
      <c r="AJ7" s="180"/>
      <c r="AK7" s="180"/>
      <c r="AL7" s="180"/>
      <c r="AM7" s="180"/>
    </row>
    <row r="8" spans="1:39" ht="13.5">
      <c r="A8" s="173"/>
      <c r="B8" s="235" t="s">
        <v>117</v>
      </c>
      <c r="C8" s="235"/>
      <c r="D8" s="180"/>
      <c r="E8" s="180"/>
      <c r="F8" s="180"/>
      <c r="G8" s="154"/>
      <c r="H8" s="180"/>
      <c r="I8" s="180"/>
      <c r="J8" s="180"/>
      <c r="K8" s="180"/>
      <c r="L8" s="180"/>
      <c r="M8" s="180"/>
      <c r="N8" s="154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54"/>
      <c r="AA8" s="180"/>
      <c r="AB8" s="180"/>
      <c r="AC8" s="180"/>
      <c r="AD8" s="180"/>
      <c r="AE8" s="180"/>
      <c r="AF8" s="180"/>
      <c r="AG8" s="154"/>
      <c r="AH8" s="180"/>
      <c r="AI8" s="180"/>
      <c r="AJ8" s="180"/>
      <c r="AK8" s="180"/>
      <c r="AL8" s="180"/>
      <c r="AM8" s="180"/>
    </row>
    <row r="9" spans="1:39" ht="13.5">
      <c r="A9" s="173"/>
      <c r="B9" s="235"/>
      <c r="C9" s="235"/>
      <c r="D9" s="180"/>
      <c r="E9" s="180"/>
      <c r="F9" s="180"/>
      <c r="G9" s="154"/>
      <c r="H9" s="180"/>
      <c r="I9" s="180"/>
      <c r="J9" s="154"/>
      <c r="K9" s="154"/>
      <c r="L9" s="154"/>
      <c r="M9" s="154"/>
      <c r="N9" s="154"/>
      <c r="O9" s="180"/>
      <c r="P9" s="180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80"/>
      <c r="AB9" s="180"/>
      <c r="AC9" s="154"/>
      <c r="AD9" s="154"/>
      <c r="AE9" s="154"/>
      <c r="AF9" s="154"/>
      <c r="AG9" s="154"/>
      <c r="AH9" s="180"/>
      <c r="AI9" s="180"/>
      <c r="AJ9" s="154"/>
      <c r="AK9" s="154"/>
      <c r="AL9" s="154"/>
      <c r="AM9" s="154"/>
    </row>
    <row r="10" spans="1:39" ht="17.25" customHeight="1">
      <c r="A10" s="173">
        <v>1</v>
      </c>
      <c r="B10" s="542" t="s">
        <v>505</v>
      </c>
      <c r="C10" s="539"/>
      <c r="D10" s="180"/>
      <c r="E10" s="539" t="s">
        <v>481</v>
      </c>
      <c r="F10" s="180" t="s">
        <v>1</v>
      </c>
      <c r="G10" s="75">
        <v>1</v>
      </c>
      <c r="H10" s="180" t="s">
        <v>1</v>
      </c>
      <c r="I10" s="180">
        <v>10</v>
      </c>
      <c r="J10" s="173">
        <f>I10*83200</f>
        <v>832000</v>
      </c>
      <c r="K10" s="173">
        <f>J10*12%</f>
        <v>99840</v>
      </c>
      <c r="L10" s="173"/>
      <c r="M10" s="180">
        <f>J10+K10+L10</f>
        <v>931840</v>
      </c>
      <c r="N10" s="75">
        <v>1</v>
      </c>
      <c r="O10" s="180" t="s">
        <v>1</v>
      </c>
      <c r="P10" s="180">
        <v>10</v>
      </c>
      <c r="Q10" s="173">
        <f>P10*83200</f>
        <v>832000</v>
      </c>
      <c r="R10" s="173">
        <f>Q10*12%</f>
        <v>99840</v>
      </c>
      <c r="S10" s="173"/>
      <c r="T10" s="555">
        <f>Q10+R10+S10</f>
        <v>931840</v>
      </c>
      <c r="U10" s="180">
        <f>+G10-N10</f>
        <v>0</v>
      </c>
      <c r="V10" s="180">
        <f aca="true" t="shared" si="0" ref="V10:X12">J10-Q10</f>
        <v>0</v>
      </c>
      <c r="W10" s="180">
        <f t="shared" si="0"/>
        <v>0</v>
      </c>
      <c r="X10" s="180">
        <f t="shared" si="0"/>
        <v>0</v>
      </c>
      <c r="Y10" s="180">
        <f>V10+W10+X10</f>
        <v>0</v>
      </c>
      <c r="Z10" s="75">
        <v>1</v>
      </c>
      <c r="AA10" s="180" t="s">
        <v>1</v>
      </c>
      <c r="AB10" s="180">
        <v>10</v>
      </c>
      <c r="AC10" s="173">
        <f>AB10*83200</f>
        <v>832000</v>
      </c>
      <c r="AD10" s="173">
        <f>AC10*12%</f>
        <v>99840</v>
      </c>
      <c r="AE10" s="173"/>
      <c r="AF10" s="555">
        <f>AC10+AD10+AE10</f>
        <v>931840</v>
      </c>
      <c r="AG10" s="75">
        <v>1</v>
      </c>
      <c r="AH10" s="180" t="s">
        <v>1</v>
      </c>
      <c r="AI10" s="180">
        <v>10</v>
      </c>
      <c r="AJ10" s="173">
        <f>AI10*83200</f>
        <v>832000</v>
      </c>
      <c r="AK10" s="173">
        <f>AJ10*12%</f>
        <v>99840</v>
      </c>
      <c r="AL10" s="173"/>
      <c r="AM10" s="555">
        <f>AJ10+AK10+AL10</f>
        <v>931840</v>
      </c>
    </row>
    <row r="11" spans="1:39" ht="35.25" customHeight="1">
      <c r="A11" s="173">
        <v>2</v>
      </c>
      <c r="B11" s="80" t="s">
        <v>506</v>
      </c>
      <c r="C11" s="539" t="s">
        <v>547</v>
      </c>
      <c r="D11" s="180" t="s">
        <v>591</v>
      </c>
      <c r="E11" s="543" t="s">
        <v>507</v>
      </c>
      <c r="F11" s="180" t="s">
        <v>1</v>
      </c>
      <c r="G11" s="75">
        <v>1</v>
      </c>
      <c r="H11" s="180" t="s">
        <v>1</v>
      </c>
      <c r="I11" s="180">
        <v>8</v>
      </c>
      <c r="J11" s="173">
        <f>I11*83200</f>
        <v>665600</v>
      </c>
      <c r="K11" s="173">
        <f>J11*12%</f>
        <v>79872</v>
      </c>
      <c r="L11" s="173">
        <f>J11*15%</f>
        <v>99840</v>
      </c>
      <c r="M11" s="180">
        <f>J11+K11+L11</f>
        <v>845312</v>
      </c>
      <c r="N11" s="75">
        <v>1</v>
      </c>
      <c r="O11" s="180" t="s">
        <v>1</v>
      </c>
      <c r="P11" s="180">
        <v>8</v>
      </c>
      <c r="Q11" s="173">
        <f>P11*83200</f>
        <v>665600</v>
      </c>
      <c r="R11" s="173">
        <f>Q11*12%</f>
        <v>79872</v>
      </c>
      <c r="S11" s="173">
        <f>Q11*15%</f>
        <v>99840</v>
      </c>
      <c r="T11" s="555">
        <f>Q11+R11+S11</f>
        <v>845312</v>
      </c>
      <c r="U11" s="180">
        <f>+G11-N11</f>
        <v>0</v>
      </c>
      <c r="V11" s="180">
        <f t="shared" si="0"/>
        <v>0</v>
      </c>
      <c r="W11" s="180">
        <f t="shared" si="0"/>
        <v>0</v>
      </c>
      <c r="X11" s="180">
        <f t="shared" si="0"/>
        <v>0</v>
      </c>
      <c r="Y11" s="180">
        <f>V11+W11+X11</f>
        <v>0</v>
      </c>
      <c r="Z11" s="75">
        <v>1</v>
      </c>
      <c r="AA11" s="180" t="s">
        <v>1</v>
      </c>
      <c r="AB11" s="180">
        <v>8</v>
      </c>
      <c r="AC11" s="173">
        <f>AB11*83200</f>
        <v>665600</v>
      </c>
      <c r="AD11" s="173">
        <f>AC11*12%</f>
        <v>79872</v>
      </c>
      <c r="AE11" s="173">
        <f>AC11*15%</f>
        <v>99840</v>
      </c>
      <c r="AF11" s="555">
        <f>AC11+AD11+AE11</f>
        <v>845312</v>
      </c>
      <c r="AG11" s="75">
        <v>1</v>
      </c>
      <c r="AH11" s="180" t="s">
        <v>1</v>
      </c>
      <c r="AI11" s="180">
        <v>8</v>
      </c>
      <c r="AJ11" s="173">
        <f>AI11*83200</f>
        <v>665600</v>
      </c>
      <c r="AK11" s="173">
        <f>AJ11*12%</f>
        <v>79872</v>
      </c>
      <c r="AL11" s="173">
        <f>AJ11*15%</f>
        <v>99840</v>
      </c>
      <c r="AM11" s="555">
        <f>AJ11+AK11+AL11</f>
        <v>845312</v>
      </c>
    </row>
    <row r="12" spans="1:39" ht="18" customHeight="1">
      <c r="A12" s="173">
        <v>3</v>
      </c>
      <c r="B12" s="80" t="s">
        <v>508</v>
      </c>
      <c r="C12" s="539" t="s">
        <v>547</v>
      </c>
      <c r="D12" s="180" t="s">
        <v>592</v>
      </c>
      <c r="E12" s="539" t="s">
        <v>509</v>
      </c>
      <c r="F12" s="180" t="s">
        <v>1</v>
      </c>
      <c r="G12" s="75">
        <v>1</v>
      </c>
      <c r="H12" s="180" t="s">
        <v>1</v>
      </c>
      <c r="I12" s="180">
        <v>7.5</v>
      </c>
      <c r="J12" s="173">
        <f>I12*83200</f>
        <v>624000</v>
      </c>
      <c r="K12" s="173">
        <f>J12*12%</f>
        <v>74880</v>
      </c>
      <c r="L12" s="173"/>
      <c r="M12" s="180">
        <f>J12+K12+L12</f>
        <v>698880</v>
      </c>
      <c r="N12" s="75">
        <v>1</v>
      </c>
      <c r="O12" s="180" t="s">
        <v>1</v>
      </c>
      <c r="P12" s="180">
        <v>7.5</v>
      </c>
      <c r="Q12" s="173">
        <f>P12*83200</f>
        <v>624000</v>
      </c>
      <c r="R12" s="173">
        <f>Q12*12%</f>
        <v>74880</v>
      </c>
      <c r="S12" s="173"/>
      <c r="T12" s="555">
        <f>Q12+R12+S12</f>
        <v>698880</v>
      </c>
      <c r="U12" s="180">
        <f>+G12-N12</f>
        <v>0</v>
      </c>
      <c r="V12" s="180">
        <f t="shared" si="0"/>
        <v>0</v>
      </c>
      <c r="W12" s="180">
        <f t="shared" si="0"/>
        <v>0</v>
      </c>
      <c r="X12" s="180">
        <f t="shared" si="0"/>
        <v>0</v>
      </c>
      <c r="Y12" s="180">
        <f>V12+W12+X12</f>
        <v>0</v>
      </c>
      <c r="Z12" s="75">
        <v>1</v>
      </c>
      <c r="AA12" s="180" t="s">
        <v>1</v>
      </c>
      <c r="AB12" s="180">
        <v>7.5</v>
      </c>
      <c r="AC12" s="173">
        <f>AB12*83200</f>
        <v>624000</v>
      </c>
      <c r="AD12" s="173">
        <f>AC12*12%</f>
        <v>74880</v>
      </c>
      <c r="AE12" s="173"/>
      <c r="AF12" s="555">
        <f>AC12+AD12+AE12</f>
        <v>698880</v>
      </c>
      <c r="AG12" s="75">
        <v>1</v>
      </c>
      <c r="AH12" s="180" t="s">
        <v>1</v>
      </c>
      <c r="AI12" s="180">
        <v>7.5</v>
      </c>
      <c r="AJ12" s="173">
        <f>AI12*83200</f>
        <v>624000</v>
      </c>
      <c r="AK12" s="173">
        <f>AJ12*12%</f>
        <v>74880</v>
      </c>
      <c r="AL12" s="173"/>
      <c r="AM12" s="555">
        <f>AJ12+AK12+AL12</f>
        <v>698880</v>
      </c>
    </row>
    <row r="13" spans="1:39" s="183" customFormat="1" ht="14.25">
      <c r="A13" s="178"/>
      <c r="B13" s="358" t="s">
        <v>70</v>
      </c>
      <c r="C13" s="358"/>
      <c r="D13" s="182" t="s">
        <v>1</v>
      </c>
      <c r="E13" s="182" t="s">
        <v>1</v>
      </c>
      <c r="F13" s="182" t="s">
        <v>1</v>
      </c>
      <c r="G13" s="546">
        <f>SUM(G10:G12)</f>
        <v>3</v>
      </c>
      <c r="H13" s="182" t="s">
        <v>1</v>
      </c>
      <c r="I13" s="182" t="s">
        <v>1</v>
      </c>
      <c r="J13" s="182">
        <f>SUM(J10:J12)</f>
        <v>2121600</v>
      </c>
      <c r="K13" s="182">
        <f>SUM(K10:K12)</f>
        <v>254592</v>
      </c>
      <c r="L13" s="182">
        <f>SUM(L10:L12)</f>
        <v>99840</v>
      </c>
      <c r="M13" s="182">
        <f>SUM(M10:M12)</f>
        <v>2476032</v>
      </c>
      <c r="N13" s="546">
        <f>SUM(N10:N12)</f>
        <v>3</v>
      </c>
      <c r="O13" s="182" t="s">
        <v>1</v>
      </c>
      <c r="P13" s="182" t="s">
        <v>1</v>
      </c>
      <c r="Q13" s="546">
        <f aca="true" t="shared" si="1" ref="Q13:Z13">SUM(Q10:Q12)</f>
        <v>2121600</v>
      </c>
      <c r="R13" s="546">
        <f t="shared" si="1"/>
        <v>254592</v>
      </c>
      <c r="S13" s="546">
        <f t="shared" si="1"/>
        <v>99840</v>
      </c>
      <c r="T13" s="546">
        <f t="shared" si="1"/>
        <v>2476032</v>
      </c>
      <c r="U13" s="182">
        <f t="shared" si="1"/>
        <v>0</v>
      </c>
      <c r="V13" s="182">
        <f t="shared" si="1"/>
        <v>0</v>
      </c>
      <c r="W13" s="182">
        <f t="shared" si="1"/>
        <v>0</v>
      </c>
      <c r="X13" s="182">
        <f t="shared" si="1"/>
        <v>0</v>
      </c>
      <c r="Y13" s="182">
        <f t="shared" si="1"/>
        <v>0</v>
      </c>
      <c r="Z13" s="546">
        <f t="shared" si="1"/>
        <v>3</v>
      </c>
      <c r="AA13" s="182" t="s">
        <v>1</v>
      </c>
      <c r="AB13" s="182" t="s">
        <v>1</v>
      </c>
      <c r="AC13" s="546">
        <f>SUM(AC10:AC12)</f>
        <v>2121600</v>
      </c>
      <c r="AD13" s="546">
        <f>SUM(AD10:AD12)</f>
        <v>254592</v>
      </c>
      <c r="AE13" s="546">
        <f>SUM(AE10:AE12)</f>
        <v>99840</v>
      </c>
      <c r="AF13" s="546">
        <f>SUM(AF10:AF12)</f>
        <v>2476032</v>
      </c>
      <c r="AG13" s="546">
        <f>SUM(AG10:AG12)</f>
        <v>3</v>
      </c>
      <c r="AH13" s="182" t="s">
        <v>1</v>
      </c>
      <c r="AI13" s="182" t="s">
        <v>1</v>
      </c>
      <c r="AJ13" s="546">
        <f>SUM(AJ10:AJ12)</f>
        <v>2121600</v>
      </c>
      <c r="AK13" s="546">
        <f>SUM(AK10:AK12)</f>
        <v>254592</v>
      </c>
      <c r="AL13" s="546">
        <f>SUM(AL10:AL12)</f>
        <v>99840</v>
      </c>
      <c r="AM13" s="546">
        <f>SUM(AM10:AM12)</f>
        <v>2476032</v>
      </c>
    </row>
    <row r="14" spans="1:39" ht="13.5">
      <c r="A14" s="173"/>
      <c r="B14" s="358"/>
      <c r="C14" s="358"/>
      <c r="D14" s="180"/>
      <c r="E14" s="180"/>
      <c r="F14" s="180"/>
      <c r="G14" s="181"/>
      <c r="H14" s="180"/>
      <c r="I14" s="180"/>
      <c r="J14" s="181"/>
      <c r="K14" s="181"/>
      <c r="L14" s="181"/>
      <c r="M14" s="181"/>
      <c r="N14" s="181"/>
      <c r="O14" s="180"/>
      <c r="P14" s="180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0"/>
      <c r="AB14" s="180"/>
      <c r="AC14" s="181"/>
      <c r="AD14" s="181"/>
      <c r="AE14" s="181"/>
      <c r="AF14" s="181"/>
      <c r="AG14" s="181"/>
      <c r="AH14" s="180"/>
      <c r="AI14" s="180"/>
      <c r="AJ14" s="181"/>
      <c r="AK14" s="181"/>
      <c r="AL14" s="181"/>
      <c r="AM14" s="181"/>
    </row>
    <row r="15" spans="1:39" ht="13.5">
      <c r="A15" s="173"/>
      <c r="B15" s="358"/>
      <c r="C15" s="358"/>
      <c r="D15" s="180"/>
      <c r="E15" s="180"/>
      <c r="F15" s="180"/>
      <c r="G15" s="181"/>
      <c r="H15" s="180"/>
      <c r="I15" s="180"/>
      <c r="J15" s="181"/>
      <c r="K15" s="181"/>
      <c r="L15" s="181"/>
      <c r="M15" s="181"/>
      <c r="N15" s="181"/>
      <c r="O15" s="180"/>
      <c r="P15" s="180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0"/>
      <c r="AB15" s="180"/>
      <c r="AC15" s="181"/>
      <c r="AD15" s="181"/>
      <c r="AE15" s="181"/>
      <c r="AF15" s="181"/>
      <c r="AG15" s="181"/>
      <c r="AH15" s="180"/>
      <c r="AI15" s="180"/>
      <c r="AJ15" s="181"/>
      <c r="AK15" s="181"/>
      <c r="AL15" s="181"/>
      <c r="AM15" s="181"/>
    </row>
    <row r="16" spans="1:39" ht="46.5" customHeight="1">
      <c r="A16" s="178" t="s">
        <v>3</v>
      </c>
      <c r="B16" s="357" t="s">
        <v>234</v>
      </c>
      <c r="C16" s="357"/>
      <c r="D16" s="180"/>
      <c r="E16" s="180"/>
      <c r="F16" s="180"/>
      <c r="G16" s="179"/>
      <c r="H16" s="180"/>
      <c r="I16" s="180"/>
      <c r="J16" s="179"/>
      <c r="K16" s="179"/>
      <c r="L16" s="179"/>
      <c r="M16" s="179"/>
      <c r="N16" s="179"/>
      <c r="O16" s="180"/>
      <c r="P16" s="180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80"/>
      <c r="AB16" s="180"/>
      <c r="AC16" s="179"/>
      <c r="AD16" s="179"/>
      <c r="AE16" s="179"/>
      <c r="AF16" s="179"/>
      <c r="AG16" s="179"/>
      <c r="AH16" s="180"/>
      <c r="AI16" s="180"/>
      <c r="AJ16" s="179"/>
      <c r="AK16" s="179"/>
      <c r="AL16" s="179"/>
      <c r="AM16" s="179"/>
    </row>
    <row r="17" spans="1:39" ht="13.5">
      <c r="A17" s="173"/>
      <c r="B17" s="235" t="s">
        <v>117</v>
      </c>
      <c r="C17" s="235"/>
      <c r="D17" s="180"/>
      <c r="E17" s="180"/>
      <c r="F17" s="180"/>
      <c r="G17" s="154"/>
      <c r="H17" s="180"/>
      <c r="I17" s="180"/>
      <c r="J17" s="154"/>
      <c r="K17" s="154"/>
      <c r="L17" s="154"/>
      <c r="M17" s="154"/>
      <c r="N17" s="154"/>
      <c r="O17" s="180"/>
      <c r="P17" s="180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80"/>
      <c r="AB17" s="180"/>
      <c r="AC17" s="154"/>
      <c r="AD17" s="154"/>
      <c r="AE17" s="154"/>
      <c r="AF17" s="154"/>
      <c r="AG17" s="154"/>
      <c r="AH17" s="180"/>
      <c r="AI17" s="180"/>
      <c r="AJ17" s="154"/>
      <c r="AK17" s="154"/>
      <c r="AL17" s="154"/>
      <c r="AM17" s="154"/>
    </row>
    <row r="18" spans="1:39" s="571" customFormat="1" ht="13.5">
      <c r="A18" s="374">
        <v>1</v>
      </c>
      <c r="B18" s="623" t="s">
        <v>510</v>
      </c>
      <c r="C18" s="571" t="s">
        <v>547</v>
      </c>
      <c r="D18" s="579" t="s">
        <v>593</v>
      </c>
      <c r="E18" s="543" t="s">
        <v>511</v>
      </c>
      <c r="F18" s="579" t="s">
        <v>549</v>
      </c>
      <c r="G18" s="542">
        <v>1</v>
      </c>
      <c r="H18" s="579" t="s">
        <v>1</v>
      </c>
      <c r="I18" s="558">
        <v>4.75</v>
      </c>
      <c r="J18" s="374">
        <f>I18*83200</f>
        <v>395200</v>
      </c>
      <c r="K18" s="374"/>
      <c r="L18" s="374"/>
      <c r="M18" s="579">
        <f>J18+K18+L18</f>
        <v>395200</v>
      </c>
      <c r="N18" s="542">
        <v>1</v>
      </c>
      <c r="O18" s="579" t="s">
        <v>1</v>
      </c>
      <c r="P18" s="558">
        <v>4.75</v>
      </c>
      <c r="Q18" s="559">
        <f>P18*83200</f>
        <v>395200</v>
      </c>
      <c r="R18" s="542"/>
      <c r="S18" s="542"/>
      <c r="T18" s="559">
        <f>Q18+R18+S18</f>
        <v>395200</v>
      </c>
      <c r="U18" s="579">
        <f>+G18-N18</f>
        <v>0</v>
      </c>
      <c r="V18" s="579">
        <f>J18-Q18</f>
        <v>0</v>
      </c>
      <c r="W18" s="579">
        <f>K18-R18</f>
        <v>0</v>
      </c>
      <c r="X18" s="579">
        <f>L18-S18</f>
        <v>0</v>
      </c>
      <c r="Y18" s="579">
        <f>V18+W18+X18</f>
        <v>0</v>
      </c>
      <c r="Z18" s="542">
        <v>1</v>
      </c>
      <c r="AA18" s="579" t="s">
        <v>1</v>
      </c>
      <c r="AB18" s="558">
        <v>4.75</v>
      </c>
      <c r="AC18" s="559">
        <f>AB18*83200</f>
        <v>395200</v>
      </c>
      <c r="AD18" s="542"/>
      <c r="AE18" s="542"/>
      <c r="AF18" s="559">
        <f>AC18+AD18+AE18</f>
        <v>395200</v>
      </c>
      <c r="AG18" s="542">
        <v>1</v>
      </c>
      <c r="AH18" s="579" t="s">
        <v>1</v>
      </c>
      <c r="AI18" s="558">
        <v>4.75</v>
      </c>
      <c r="AJ18" s="559">
        <f>AI18*83200</f>
        <v>395200</v>
      </c>
      <c r="AK18" s="542"/>
      <c r="AL18" s="542"/>
      <c r="AM18" s="559">
        <f>AJ18+AK18+AL18</f>
        <v>395200</v>
      </c>
    </row>
    <row r="19" spans="1:39" s="183" customFormat="1" ht="14.25">
      <c r="A19" s="178"/>
      <c r="B19" s="358" t="s">
        <v>70</v>
      </c>
      <c r="C19" s="358"/>
      <c r="D19" s="182" t="s">
        <v>1</v>
      </c>
      <c r="E19" s="182" t="s">
        <v>1</v>
      </c>
      <c r="F19" s="182" t="s">
        <v>1</v>
      </c>
      <c r="G19" s="546">
        <f>SUM(G18:G18)</f>
        <v>1</v>
      </c>
      <c r="H19" s="182" t="s">
        <v>1</v>
      </c>
      <c r="I19" s="182" t="s">
        <v>1</v>
      </c>
      <c r="J19" s="182">
        <f>SUM(J18:J18)</f>
        <v>395200</v>
      </c>
      <c r="K19" s="182">
        <f>SUM(K18:K18)</f>
        <v>0</v>
      </c>
      <c r="L19" s="182">
        <f>SUM(L18:L18)</f>
        <v>0</v>
      </c>
      <c r="M19" s="182">
        <f>SUM(M18:M18)</f>
        <v>395200</v>
      </c>
      <c r="N19" s="546">
        <f>SUM(N18:N18)</f>
        <v>1</v>
      </c>
      <c r="O19" s="182" t="s">
        <v>1</v>
      </c>
      <c r="P19" s="182" t="s">
        <v>1</v>
      </c>
      <c r="Q19" s="546">
        <f aca="true" t="shared" si="2" ref="Q19:Z19">SUM(Q18:Q18)</f>
        <v>395200</v>
      </c>
      <c r="R19" s="182">
        <f t="shared" si="2"/>
        <v>0</v>
      </c>
      <c r="S19" s="182">
        <f t="shared" si="2"/>
        <v>0</v>
      </c>
      <c r="T19" s="546">
        <f t="shared" si="2"/>
        <v>395200</v>
      </c>
      <c r="U19" s="182">
        <f t="shared" si="2"/>
        <v>0</v>
      </c>
      <c r="V19" s="182">
        <f t="shared" si="2"/>
        <v>0</v>
      </c>
      <c r="W19" s="182">
        <f t="shared" si="2"/>
        <v>0</v>
      </c>
      <c r="X19" s="182">
        <f t="shared" si="2"/>
        <v>0</v>
      </c>
      <c r="Y19" s="182">
        <f t="shared" si="2"/>
        <v>0</v>
      </c>
      <c r="Z19" s="546">
        <f t="shared" si="2"/>
        <v>1</v>
      </c>
      <c r="AA19" s="182" t="s">
        <v>1</v>
      </c>
      <c r="AB19" s="182" t="s">
        <v>1</v>
      </c>
      <c r="AC19" s="546">
        <f>SUM(AC18:AC18)</f>
        <v>395200</v>
      </c>
      <c r="AD19" s="182">
        <f>SUM(AD18:AD18)</f>
        <v>0</v>
      </c>
      <c r="AE19" s="182">
        <f>SUM(AE18:AE18)</f>
        <v>0</v>
      </c>
      <c r="AF19" s="546">
        <f>SUM(AF18:AF18)</f>
        <v>395200</v>
      </c>
      <c r="AG19" s="546">
        <f>SUM(AG18:AG18)</f>
        <v>1</v>
      </c>
      <c r="AH19" s="182" t="s">
        <v>1</v>
      </c>
      <c r="AI19" s="182" t="s">
        <v>1</v>
      </c>
      <c r="AJ19" s="546">
        <f>SUM(AJ18:AJ18)</f>
        <v>395200</v>
      </c>
      <c r="AK19" s="182">
        <f>SUM(AK18:AK18)</f>
        <v>0</v>
      </c>
      <c r="AL19" s="182">
        <f>SUM(AL18:AL18)</f>
        <v>0</v>
      </c>
      <c r="AM19" s="546">
        <f>SUM(AM18:AM18)</f>
        <v>395200</v>
      </c>
    </row>
    <row r="20" spans="1:39" ht="13.5">
      <c r="A20" s="173"/>
      <c r="B20" s="357"/>
      <c r="C20" s="357"/>
      <c r="D20" s="180"/>
      <c r="E20" s="180"/>
      <c r="F20" s="180"/>
      <c r="G20" s="179"/>
      <c r="H20" s="180"/>
      <c r="I20" s="180"/>
      <c r="J20" s="179"/>
      <c r="K20" s="179"/>
      <c r="L20" s="179"/>
      <c r="M20" s="179"/>
      <c r="N20" s="179"/>
      <c r="O20" s="180"/>
      <c r="P20" s="180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80"/>
      <c r="AB20" s="180"/>
      <c r="AC20" s="179"/>
      <c r="AD20" s="179"/>
      <c r="AE20" s="179"/>
      <c r="AF20" s="179"/>
      <c r="AG20" s="179"/>
      <c r="AH20" s="180"/>
      <c r="AI20" s="180"/>
      <c r="AJ20" s="179"/>
      <c r="AK20" s="179"/>
      <c r="AL20" s="179"/>
      <c r="AM20" s="179"/>
    </row>
    <row r="21" spans="1:39" ht="13.5">
      <c r="A21" s="173"/>
      <c r="B21" s="358"/>
      <c r="C21" s="358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</row>
    <row r="22" spans="1:39" ht="27">
      <c r="A22" s="178" t="s">
        <v>4</v>
      </c>
      <c r="B22" s="357" t="s">
        <v>261</v>
      </c>
      <c r="C22" s="357"/>
      <c r="D22" s="180"/>
      <c r="E22" s="180"/>
      <c r="F22" s="180"/>
      <c r="G22" s="179"/>
      <c r="H22" s="180"/>
      <c r="I22" s="180"/>
      <c r="J22" s="179"/>
      <c r="K22" s="179"/>
      <c r="L22" s="179"/>
      <c r="M22" s="179"/>
      <c r="N22" s="179"/>
      <c r="O22" s="180"/>
      <c r="P22" s="180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80"/>
      <c r="AB22" s="180"/>
      <c r="AC22" s="179"/>
      <c r="AD22" s="179"/>
      <c r="AE22" s="179"/>
      <c r="AF22" s="179"/>
      <c r="AG22" s="179"/>
      <c r="AH22" s="180"/>
      <c r="AI22" s="180"/>
      <c r="AJ22" s="179"/>
      <c r="AK22" s="179"/>
      <c r="AL22" s="179"/>
      <c r="AM22" s="179"/>
    </row>
    <row r="23" spans="1:39" ht="13.5">
      <c r="A23" s="173"/>
      <c r="B23" s="235" t="s">
        <v>117</v>
      </c>
      <c r="C23" s="235"/>
      <c r="D23" s="180"/>
      <c r="E23" s="180"/>
      <c r="F23" s="180"/>
      <c r="G23" s="154"/>
      <c r="H23" s="180"/>
      <c r="I23" s="180"/>
      <c r="J23" s="154"/>
      <c r="K23" s="154"/>
      <c r="L23" s="154"/>
      <c r="M23" s="154"/>
      <c r="N23" s="154"/>
      <c r="O23" s="180"/>
      <c r="P23" s="180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80"/>
      <c r="AB23" s="180"/>
      <c r="AC23" s="154"/>
      <c r="AD23" s="154"/>
      <c r="AE23" s="154"/>
      <c r="AF23" s="154"/>
      <c r="AG23" s="154"/>
      <c r="AH23" s="180"/>
      <c r="AI23" s="180"/>
      <c r="AJ23" s="154"/>
      <c r="AK23" s="154"/>
      <c r="AL23" s="154"/>
      <c r="AM23" s="154"/>
    </row>
    <row r="24" spans="1:39" ht="13.5">
      <c r="A24" s="173"/>
      <c r="B24" s="235" t="s">
        <v>133</v>
      </c>
      <c r="C24" s="235"/>
      <c r="D24" s="180"/>
      <c r="E24" s="180"/>
      <c r="F24" s="180"/>
      <c r="G24" s="154"/>
      <c r="H24" s="180"/>
      <c r="I24" s="180"/>
      <c r="J24" s="154"/>
      <c r="K24" s="154"/>
      <c r="L24" s="154"/>
      <c r="M24" s="154"/>
      <c r="N24" s="154"/>
      <c r="O24" s="180"/>
      <c r="P24" s="180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80"/>
      <c r="AB24" s="180"/>
      <c r="AC24" s="154"/>
      <c r="AD24" s="154"/>
      <c r="AE24" s="154"/>
      <c r="AF24" s="154"/>
      <c r="AG24" s="154"/>
      <c r="AH24" s="180"/>
      <c r="AI24" s="180"/>
      <c r="AJ24" s="154"/>
      <c r="AK24" s="154"/>
      <c r="AL24" s="154"/>
      <c r="AM24" s="154"/>
    </row>
    <row r="25" spans="1:39" ht="13.5">
      <c r="A25" s="173"/>
      <c r="B25" s="235" t="s">
        <v>134</v>
      </c>
      <c r="C25" s="235"/>
      <c r="D25" s="180"/>
      <c r="E25" s="180"/>
      <c r="F25" s="180"/>
      <c r="G25" s="154"/>
      <c r="H25" s="180"/>
      <c r="I25" s="180"/>
      <c r="J25" s="154"/>
      <c r="K25" s="154"/>
      <c r="L25" s="154"/>
      <c r="M25" s="154"/>
      <c r="N25" s="154"/>
      <c r="O25" s="180"/>
      <c r="P25" s="180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80"/>
      <c r="AB25" s="180"/>
      <c r="AC25" s="154"/>
      <c r="AD25" s="154"/>
      <c r="AE25" s="154"/>
      <c r="AF25" s="154"/>
      <c r="AG25" s="154"/>
      <c r="AH25" s="180"/>
      <c r="AI25" s="180"/>
      <c r="AJ25" s="154"/>
      <c r="AK25" s="154"/>
      <c r="AL25" s="154"/>
      <c r="AM25" s="154"/>
    </row>
    <row r="26" spans="1:39" ht="45" customHeight="1">
      <c r="A26" s="173">
        <v>1</v>
      </c>
      <c r="B26" s="8" t="s">
        <v>505</v>
      </c>
      <c r="D26" s="173"/>
      <c r="E26" s="539" t="s">
        <v>219</v>
      </c>
      <c r="F26" s="173" t="s">
        <v>550</v>
      </c>
      <c r="G26" s="75">
        <v>1</v>
      </c>
      <c r="H26" s="173"/>
      <c r="I26" s="173">
        <v>8.18</v>
      </c>
      <c r="J26" s="559">
        <f>I26*83200</f>
        <v>680576</v>
      </c>
      <c r="K26" s="547">
        <f>J26*12%</f>
        <v>81669.12</v>
      </c>
      <c r="L26" s="75"/>
      <c r="M26" s="555">
        <f>J26+K26+L26</f>
        <v>762245.12</v>
      </c>
      <c r="N26" s="75">
        <v>1</v>
      </c>
      <c r="O26" s="173"/>
      <c r="P26" s="173">
        <v>8.18</v>
      </c>
      <c r="Q26" s="559">
        <f>P26*83200</f>
        <v>680576</v>
      </c>
      <c r="R26" s="547">
        <f>Q26*12%</f>
        <v>81669.12</v>
      </c>
      <c r="S26" s="75"/>
      <c r="T26" s="555">
        <f>Q26+R26+S26</f>
        <v>762245.12</v>
      </c>
      <c r="U26" s="180">
        <f>+G26-N26</f>
        <v>0</v>
      </c>
      <c r="V26" s="180">
        <f>J26-Q26</f>
        <v>0</v>
      </c>
      <c r="W26" s="180">
        <f>K26-R26</f>
        <v>0</v>
      </c>
      <c r="X26" s="180">
        <f>L26-S26</f>
        <v>0</v>
      </c>
      <c r="Y26" s="180">
        <f>V26+W26+X26</f>
        <v>0</v>
      </c>
      <c r="Z26" s="75">
        <v>1</v>
      </c>
      <c r="AA26" s="173"/>
      <c r="AB26" s="173">
        <v>8.46</v>
      </c>
      <c r="AC26" s="173">
        <f>AB26*83200</f>
        <v>703872.0000000001</v>
      </c>
      <c r="AD26" s="547">
        <f>AC26*12%</f>
        <v>84464.64000000001</v>
      </c>
      <c r="AE26" s="75"/>
      <c r="AF26" s="555">
        <f>AC26+AD26+AE26</f>
        <v>788336.6400000001</v>
      </c>
      <c r="AG26" s="75">
        <v>1</v>
      </c>
      <c r="AH26" s="173"/>
      <c r="AI26" s="173">
        <v>8.46</v>
      </c>
      <c r="AJ26" s="173">
        <f>AI26*83200</f>
        <v>703872.0000000001</v>
      </c>
      <c r="AK26" s="547">
        <f>AJ26*12%</f>
        <v>84464.64000000001</v>
      </c>
      <c r="AL26" s="75"/>
      <c r="AM26" s="555">
        <f>AJ26+AK26+AL26</f>
        <v>788336.6400000001</v>
      </c>
    </row>
    <row r="27" spans="1:39" s="183" customFormat="1" ht="27">
      <c r="A27" s="178"/>
      <c r="B27" s="359" t="s">
        <v>135</v>
      </c>
      <c r="C27" s="359"/>
      <c r="D27" s="182" t="s">
        <v>1</v>
      </c>
      <c r="E27" s="182" t="s">
        <v>1</v>
      </c>
      <c r="F27" s="182" t="s">
        <v>1</v>
      </c>
      <c r="G27" s="546">
        <f>SUM(G26:G26)</f>
        <v>1</v>
      </c>
      <c r="H27" s="182" t="s">
        <v>1</v>
      </c>
      <c r="I27" s="182" t="s">
        <v>1</v>
      </c>
      <c r="J27" s="182">
        <f>SUM(J26:J26)</f>
        <v>680576</v>
      </c>
      <c r="K27" s="182">
        <f>SUM(K26:K26)</f>
        <v>81669.12</v>
      </c>
      <c r="L27" s="182">
        <f>SUM(L26:L26)</f>
        <v>0</v>
      </c>
      <c r="M27" s="182">
        <f>SUM(M26:M26)</f>
        <v>762245.12</v>
      </c>
      <c r="N27" s="546">
        <f>SUM(N26:N26)</f>
        <v>1</v>
      </c>
      <c r="O27" s="182" t="s">
        <v>1</v>
      </c>
      <c r="P27" s="182" t="s">
        <v>1</v>
      </c>
      <c r="Q27" s="560">
        <f aca="true" t="shared" si="3" ref="Q27:Z27">SUM(Q26:Q26)</f>
        <v>680576</v>
      </c>
      <c r="R27" s="546">
        <f t="shared" si="3"/>
        <v>81669.12</v>
      </c>
      <c r="S27" s="182">
        <f t="shared" si="3"/>
        <v>0</v>
      </c>
      <c r="T27" s="546">
        <f t="shared" si="3"/>
        <v>762245.12</v>
      </c>
      <c r="U27" s="182">
        <f t="shared" si="3"/>
        <v>0</v>
      </c>
      <c r="V27" s="546">
        <f t="shared" si="3"/>
        <v>0</v>
      </c>
      <c r="W27" s="546">
        <f t="shared" si="3"/>
        <v>0</v>
      </c>
      <c r="X27" s="182">
        <f t="shared" si="3"/>
        <v>0</v>
      </c>
      <c r="Y27" s="546">
        <f t="shared" si="3"/>
        <v>0</v>
      </c>
      <c r="Z27" s="546">
        <f t="shared" si="3"/>
        <v>1</v>
      </c>
      <c r="AA27" s="182" t="s">
        <v>1</v>
      </c>
      <c r="AB27" s="182" t="s">
        <v>1</v>
      </c>
      <c r="AC27" s="546">
        <f>SUM(AC26:AC26)</f>
        <v>703872.0000000001</v>
      </c>
      <c r="AD27" s="546">
        <f>SUM(AD26:AD26)</f>
        <v>84464.64000000001</v>
      </c>
      <c r="AE27" s="182">
        <f>SUM(AE26:AE26)</f>
        <v>0</v>
      </c>
      <c r="AF27" s="546">
        <f>SUM(AF26:AF26)</f>
        <v>788336.6400000001</v>
      </c>
      <c r="AG27" s="546">
        <f>SUM(AG26:AG26)</f>
        <v>1</v>
      </c>
      <c r="AH27" s="182" t="s">
        <v>1</v>
      </c>
      <c r="AI27" s="182" t="s">
        <v>1</v>
      </c>
      <c r="AJ27" s="546">
        <f>SUM(AJ26:AJ26)</f>
        <v>703872.0000000001</v>
      </c>
      <c r="AK27" s="546">
        <f>SUM(AK26:AK26)</f>
        <v>84464.64000000001</v>
      </c>
      <c r="AL27" s="182">
        <f>SUM(AL26:AL26)</f>
        <v>0</v>
      </c>
      <c r="AM27" s="546">
        <f>SUM(AM26:AM26)</f>
        <v>788336.6400000001</v>
      </c>
    </row>
    <row r="28" spans="1:39" ht="14.25">
      <c r="A28" s="173"/>
      <c r="B28" s="756" t="s">
        <v>489</v>
      </c>
      <c r="C28" s="757"/>
      <c r="D28" s="180"/>
      <c r="E28" s="180"/>
      <c r="F28" s="180"/>
      <c r="G28" s="154"/>
      <c r="H28" s="180"/>
      <c r="I28" s="180"/>
      <c r="J28" s="154"/>
      <c r="K28" s="154"/>
      <c r="L28" s="154"/>
      <c r="M28" s="154"/>
      <c r="N28" s="154"/>
      <c r="O28" s="180"/>
      <c r="P28" s="180"/>
      <c r="Q28" s="561"/>
      <c r="R28" s="154"/>
      <c r="S28" s="154"/>
      <c r="T28" s="154"/>
      <c r="U28" s="154"/>
      <c r="V28" s="154"/>
      <c r="W28" s="154"/>
      <c r="X28" s="154"/>
      <c r="Y28" s="154"/>
      <c r="Z28" s="154"/>
      <c r="AA28" s="180"/>
      <c r="AB28" s="180"/>
      <c r="AC28" s="154"/>
      <c r="AD28" s="154"/>
      <c r="AE28" s="154"/>
      <c r="AF28" s="154"/>
      <c r="AG28" s="154"/>
      <c r="AH28" s="180"/>
      <c r="AI28" s="180"/>
      <c r="AJ28" s="154"/>
      <c r="AK28" s="154"/>
      <c r="AL28" s="154"/>
      <c r="AM28" s="154"/>
    </row>
    <row r="29" spans="1:39" ht="27">
      <c r="A29" s="173">
        <v>1</v>
      </c>
      <c r="B29" s="80" t="s">
        <v>512</v>
      </c>
      <c r="C29" s="571" t="s">
        <v>547</v>
      </c>
      <c r="D29" s="180" t="s">
        <v>594</v>
      </c>
      <c r="E29" s="25" t="s">
        <v>513</v>
      </c>
      <c r="F29" s="180" t="s">
        <v>551</v>
      </c>
      <c r="G29" s="154">
        <v>1</v>
      </c>
      <c r="H29" s="552" t="s">
        <v>618</v>
      </c>
      <c r="I29" s="549">
        <v>5.01</v>
      </c>
      <c r="J29" s="559">
        <f aca="true" t="shared" si="4" ref="J29:J38">I29*83200</f>
        <v>416832</v>
      </c>
      <c r="K29" s="547">
        <f>J29*12%</f>
        <v>50019.84</v>
      </c>
      <c r="L29" s="154"/>
      <c r="M29" s="555">
        <f>J29+K29+L29</f>
        <v>466851.83999999997</v>
      </c>
      <c r="N29" s="154">
        <v>1</v>
      </c>
      <c r="O29" s="552" t="s">
        <v>619</v>
      </c>
      <c r="P29" s="558">
        <v>4.86</v>
      </c>
      <c r="Q29" s="559">
        <f aca="true" t="shared" si="5" ref="Q29:Q42">P29*83200</f>
        <v>404352</v>
      </c>
      <c r="R29" s="547">
        <f>Q29*12%</f>
        <v>48522.24</v>
      </c>
      <c r="S29" s="154"/>
      <c r="T29" s="555">
        <f>Q29+R29+S29</f>
        <v>452874.24</v>
      </c>
      <c r="U29" s="180">
        <f aca="true" t="shared" si="6" ref="U29:U42">+G29-N29</f>
        <v>0</v>
      </c>
      <c r="V29" s="180">
        <f aca="true" t="shared" si="7" ref="V29:V42">J29-Q29</f>
        <v>12480</v>
      </c>
      <c r="W29" s="180">
        <f aca="true" t="shared" si="8" ref="W29:W42">K29-R29</f>
        <v>1497.5999999999985</v>
      </c>
      <c r="X29" s="180">
        <f aca="true" t="shared" si="9" ref="X29:X42">L29-S29</f>
        <v>0</v>
      </c>
      <c r="Y29" s="180">
        <f aca="true" t="shared" si="10" ref="Y29:Y42">V29+W29+X29</f>
        <v>13977.599999999999</v>
      </c>
      <c r="Z29" s="154">
        <v>1</v>
      </c>
      <c r="AA29" s="552" t="s">
        <v>655</v>
      </c>
      <c r="AB29" s="549">
        <v>5.18</v>
      </c>
      <c r="AC29" s="173">
        <f>AB29*83200</f>
        <v>430976</v>
      </c>
      <c r="AD29" s="547">
        <f>AC29*12%</f>
        <v>51717.119999999995</v>
      </c>
      <c r="AE29" s="75"/>
      <c r="AF29" s="555">
        <f>AC29+AD29+AE29</f>
        <v>482693.12</v>
      </c>
      <c r="AG29" s="154">
        <v>1</v>
      </c>
      <c r="AH29" s="552" t="s">
        <v>669</v>
      </c>
      <c r="AI29" s="549">
        <v>5.35</v>
      </c>
      <c r="AJ29" s="173">
        <f>AI29*83200</f>
        <v>445119.99999999994</v>
      </c>
      <c r="AK29" s="547">
        <f>AJ29*12%</f>
        <v>53414.399999999994</v>
      </c>
      <c r="AL29" s="75"/>
      <c r="AM29" s="555">
        <f>AJ29+AK29+AL29</f>
        <v>498534.3999999999</v>
      </c>
    </row>
    <row r="30" spans="1:39" ht="20.25" customHeight="1">
      <c r="A30" s="173"/>
      <c r="B30" s="749" t="s">
        <v>514</v>
      </c>
      <c r="C30" s="750"/>
      <c r="D30" s="180"/>
      <c r="E30" s="180"/>
      <c r="F30" s="180"/>
      <c r="G30" s="154"/>
      <c r="H30" s="552"/>
      <c r="I30" s="180"/>
      <c r="J30" s="154"/>
      <c r="K30" s="154"/>
      <c r="L30" s="154"/>
      <c r="M30" s="154"/>
      <c r="N30" s="154"/>
      <c r="O30" s="180"/>
      <c r="P30" s="180"/>
      <c r="Q30" s="559"/>
      <c r="R30" s="154"/>
      <c r="S30" s="154"/>
      <c r="T30" s="555">
        <f aca="true" t="shared" si="11" ref="T30:T42">Q30+R30+S30</f>
        <v>0</v>
      </c>
      <c r="U30" s="180">
        <f t="shared" si="6"/>
        <v>0</v>
      </c>
      <c r="V30" s="180">
        <f t="shared" si="7"/>
        <v>0</v>
      </c>
      <c r="W30" s="180">
        <f t="shared" si="8"/>
        <v>0</v>
      </c>
      <c r="X30" s="180">
        <f t="shared" si="9"/>
        <v>0</v>
      </c>
      <c r="Y30" s="180">
        <f t="shared" si="10"/>
        <v>0</v>
      </c>
      <c r="Z30" s="154"/>
      <c r="AA30" s="552"/>
      <c r="AB30" s="180"/>
      <c r="AC30" s="154"/>
      <c r="AD30" s="154"/>
      <c r="AE30" s="154"/>
      <c r="AF30" s="154"/>
      <c r="AG30" s="154"/>
      <c r="AH30" s="173"/>
      <c r="AI30" s="180"/>
      <c r="AJ30" s="154"/>
      <c r="AK30" s="154"/>
      <c r="AL30" s="154"/>
      <c r="AM30" s="154"/>
    </row>
    <row r="31" spans="1:39" ht="30" customHeight="1">
      <c r="A31" s="173">
        <f>A29+1</f>
        <v>2</v>
      </c>
      <c r="B31" s="542" t="s">
        <v>505</v>
      </c>
      <c r="C31" s="80"/>
      <c r="D31" s="180"/>
      <c r="E31" s="25" t="s">
        <v>515</v>
      </c>
      <c r="F31" s="180" t="s">
        <v>552</v>
      </c>
      <c r="G31" s="154">
        <v>1</v>
      </c>
      <c r="H31" s="552"/>
      <c r="I31" s="549">
        <v>4.55</v>
      </c>
      <c r="J31" s="559">
        <f t="shared" si="4"/>
        <v>378560</v>
      </c>
      <c r="K31" s="547">
        <f>J31*12%</f>
        <v>45427.2</v>
      </c>
      <c r="L31" s="154"/>
      <c r="M31" s="555">
        <f aca="true" t="shared" si="12" ref="M31:M36">J31+K31+L31</f>
        <v>423987.2</v>
      </c>
      <c r="N31" s="154">
        <v>1</v>
      </c>
      <c r="O31" s="552"/>
      <c r="P31" s="549">
        <v>4.55</v>
      </c>
      <c r="Q31" s="559">
        <f t="shared" si="5"/>
        <v>378560</v>
      </c>
      <c r="R31" s="547">
        <f aca="true" t="shared" si="13" ref="R31:R42">Q31*12%</f>
        <v>45427.2</v>
      </c>
      <c r="S31" s="154"/>
      <c r="T31" s="555">
        <f t="shared" si="11"/>
        <v>423987.2</v>
      </c>
      <c r="U31" s="180">
        <f t="shared" si="6"/>
        <v>0</v>
      </c>
      <c r="V31" s="180">
        <f t="shared" si="7"/>
        <v>0</v>
      </c>
      <c r="W31" s="180">
        <f t="shared" si="8"/>
        <v>0</v>
      </c>
      <c r="X31" s="180">
        <f t="shared" si="9"/>
        <v>0</v>
      </c>
      <c r="Y31" s="180">
        <f t="shared" si="10"/>
        <v>0</v>
      </c>
      <c r="Z31" s="154">
        <v>1</v>
      </c>
      <c r="AA31" s="552"/>
      <c r="AB31" s="549">
        <v>3.88</v>
      </c>
      <c r="AC31" s="173">
        <f aca="true" t="shared" si="14" ref="AC31:AC42">AB31*83200</f>
        <v>322816</v>
      </c>
      <c r="AD31" s="547">
        <f aca="true" t="shared" si="15" ref="AD31:AD42">AC31*12%</f>
        <v>38737.92</v>
      </c>
      <c r="AE31" s="75"/>
      <c r="AF31" s="555">
        <f aca="true" t="shared" si="16" ref="AF31:AF36">AC31+AD31+AE31</f>
        <v>361553.92</v>
      </c>
      <c r="AG31" s="154">
        <v>1</v>
      </c>
      <c r="AH31" s="552"/>
      <c r="AI31" s="549">
        <v>3.88</v>
      </c>
      <c r="AJ31" s="173">
        <f aca="true" t="shared" si="17" ref="AJ31:AJ38">AI31*83200</f>
        <v>322816</v>
      </c>
      <c r="AK31" s="547">
        <f aca="true" t="shared" si="18" ref="AK31:AK38">AJ31*12%</f>
        <v>38737.92</v>
      </c>
      <c r="AL31" s="75"/>
      <c r="AM31" s="555">
        <f aca="true" t="shared" si="19" ref="AM31:AM36">AJ31+AK31+AL31</f>
        <v>361553.92</v>
      </c>
    </row>
    <row r="32" spans="1:39" ht="39" customHeight="1">
      <c r="A32" s="173">
        <f>A31+1</f>
        <v>3</v>
      </c>
      <c r="B32" s="542" t="s">
        <v>505</v>
      </c>
      <c r="C32" s="80"/>
      <c r="D32" s="180"/>
      <c r="E32" s="543" t="s">
        <v>516</v>
      </c>
      <c r="F32" s="180" t="s">
        <v>553</v>
      </c>
      <c r="G32" s="154">
        <v>1</v>
      </c>
      <c r="H32" s="552"/>
      <c r="I32" s="549">
        <v>3.76</v>
      </c>
      <c r="J32" s="559">
        <f t="shared" si="4"/>
        <v>312832</v>
      </c>
      <c r="K32" s="547">
        <f aca="true" t="shared" si="20" ref="K32:K38">J32*12%</f>
        <v>37539.84</v>
      </c>
      <c r="L32" s="154"/>
      <c r="M32" s="555">
        <f t="shared" si="12"/>
        <v>350371.83999999997</v>
      </c>
      <c r="N32" s="154">
        <v>1</v>
      </c>
      <c r="O32" s="552"/>
      <c r="P32" s="549">
        <v>3.76</v>
      </c>
      <c r="Q32" s="559">
        <f t="shared" si="5"/>
        <v>312832</v>
      </c>
      <c r="R32" s="547">
        <f t="shared" si="13"/>
        <v>37539.84</v>
      </c>
      <c r="S32" s="154"/>
      <c r="T32" s="555">
        <f t="shared" si="11"/>
        <v>350371.83999999997</v>
      </c>
      <c r="U32" s="180">
        <f t="shared" si="6"/>
        <v>0</v>
      </c>
      <c r="V32" s="180">
        <f t="shared" si="7"/>
        <v>0</v>
      </c>
      <c r="W32" s="180">
        <f t="shared" si="8"/>
        <v>0</v>
      </c>
      <c r="X32" s="180">
        <f t="shared" si="9"/>
        <v>0</v>
      </c>
      <c r="Y32" s="180">
        <f t="shared" si="10"/>
        <v>0</v>
      </c>
      <c r="Z32" s="154">
        <v>1</v>
      </c>
      <c r="AA32" s="552"/>
      <c r="AB32" s="549">
        <v>3.88</v>
      </c>
      <c r="AC32" s="173">
        <f t="shared" si="14"/>
        <v>322816</v>
      </c>
      <c r="AD32" s="547">
        <f t="shared" si="15"/>
        <v>38737.92</v>
      </c>
      <c r="AE32" s="75"/>
      <c r="AF32" s="555">
        <f t="shared" si="16"/>
        <v>361553.92</v>
      </c>
      <c r="AG32" s="154">
        <v>1</v>
      </c>
      <c r="AH32" s="552"/>
      <c r="AI32" s="549">
        <v>3.88</v>
      </c>
      <c r="AJ32" s="173">
        <f t="shared" si="17"/>
        <v>322816</v>
      </c>
      <c r="AK32" s="547">
        <f t="shared" si="18"/>
        <v>38737.92</v>
      </c>
      <c r="AL32" s="75"/>
      <c r="AM32" s="555">
        <f t="shared" si="19"/>
        <v>361553.92</v>
      </c>
    </row>
    <row r="33" spans="1:39" ht="27">
      <c r="A33" s="173">
        <f>A32+1</f>
        <v>4</v>
      </c>
      <c r="B33" s="542" t="s">
        <v>505</v>
      </c>
      <c r="C33" s="80"/>
      <c r="D33" s="180"/>
      <c r="E33" s="543" t="s">
        <v>516</v>
      </c>
      <c r="F33" s="180" t="s">
        <v>554</v>
      </c>
      <c r="G33" s="154">
        <v>1</v>
      </c>
      <c r="H33" s="552"/>
      <c r="I33" s="549">
        <v>3.76</v>
      </c>
      <c r="J33" s="559">
        <f t="shared" si="4"/>
        <v>312832</v>
      </c>
      <c r="K33" s="547">
        <f t="shared" si="20"/>
        <v>37539.84</v>
      </c>
      <c r="L33" s="154"/>
      <c r="M33" s="555">
        <f t="shared" si="12"/>
        <v>350371.83999999997</v>
      </c>
      <c r="N33" s="154">
        <v>1</v>
      </c>
      <c r="O33" s="552"/>
      <c r="P33" s="549">
        <v>3.76</v>
      </c>
      <c r="Q33" s="559">
        <f t="shared" si="5"/>
        <v>312832</v>
      </c>
      <c r="R33" s="547">
        <f t="shared" si="13"/>
        <v>37539.84</v>
      </c>
      <c r="S33" s="75"/>
      <c r="T33" s="555">
        <f t="shared" si="11"/>
        <v>350371.83999999997</v>
      </c>
      <c r="U33" s="180">
        <f t="shared" si="6"/>
        <v>0</v>
      </c>
      <c r="V33" s="180">
        <f t="shared" si="7"/>
        <v>0</v>
      </c>
      <c r="W33" s="180">
        <f t="shared" si="8"/>
        <v>0</v>
      </c>
      <c r="X33" s="180">
        <f t="shared" si="9"/>
        <v>0</v>
      </c>
      <c r="Y33" s="180">
        <f t="shared" si="10"/>
        <v>0</v>
      </c>
      <c r="Z33" s="154">
        <v>1</v>
      </c>
      <c r="AA33" s="552"/>
      <c r="AB33" s="549">
        <v>3.88</v>
      </c>
      <c r="AC33" s="173">
        <f t="shared" si="14"/>
        <v>322816</v>
      </c>
      <c r="AD33" s="547">
        <f t="shared" si="15"/>
        <v>38737.92</v>
      </c>
      <c r="AE33" s="75"/>
      <c r="AF33" s="555">
        <f t="shared" si="16"/>
        <v>361553.92</v>
      </c>
      <c r="AG33" s="154">
        <v>1</v>
      </c>
      <c r="AH33" s="552"/>
      <c r="AI33" s="549">
        <v>3.88</v>
      </c>
      <c r="AJ33" s="173">
        <f t="shared" si="17"/>
        <v>322816</v>
      </c>
      <c r="AK33" s="547">
        <f t="shared" si="18"/>
        <v>38737.92</v>
      </c>
      <c r="AL33" s="75"/>
      <c r="AM33" s="555">
        <f t="shared" si="19"/>
        <v>361553.92</v>
      </c>
    </row>
    <row r="34" spans="1:39" ht="27">
      <c r="A34" s="173">
        <f>A33+1</f>
        <v>5</v>
      </c>
      <c r="B34" s="542" t="s">
        <v>505</v>
      </c>
      <c r="C34" s="80"/>
      <c r="D34" s="180"/>
      <c r="E34" s="543" t="s">
        <v>516</v>
      </c>
      <c r="F34" s="180" t="s">
        <v>555</v>
      </c>
      <c r="G34" s="154">
        <v>1</v>
      </c>
      <c r="H34" s="552"/>
      <c r="I34" s="549">
        <v>3.76</v>
      </c>
      <c r="J34" s="559">
        <f t="shared" si="4"/>
        <v>312832</v>
      </c>
      <c r="K34" s="547">
        <f t="shared" si="20"/>
        <v>37539.84</v>
      </c>
      <c r="L34" s="154"/>
      <c r="M34" s="555">
        <f t="shared" si="12"/>
        <v>350371.83999999997</v>
      </c>
      <c r="N34" s="154">
        <v>1</v>
      </c>
      <c r="O34" s="552"/>
      <c r="P34" s="549">
        <v>3.76</v>
      </c>
      <c r="Q34" s="559">
        <f t="shared" si="5"/>
        <v>312832</v>
      </c>
      <c r="R34" s="547">
        <f t="shared" si="13"/>
        <v>37539.84</v>
      </c>
      <c r="S34" s="75"/>
      <c r="T34" s="555">
        <f t="shared" si="11"/>
        <v>350371.83999999997</v>
      </c>
      <c r="U34" s="180">
        <f t="shared" si="6"/>
        <v>0</v>
      </c>
      <c r="V34" s="180">
        <f t="shared" si="7"/>
        <v>0</v>
      </c>
      <c r="W34" s="180">
        <f t="shared" si="8"/>
        <v>0</v>
      </c>
      <c r="X34" s="180">
        <f t="shared" si="9"/>
        <v>0</v>
      </c>
      <c r="Y34" s="180">
        <f t="shared" si="10"/>
        <v>0</v>
      </c>
      <c r="Z34" s="154">
        <v>1</v>
      </c>
      <c r="AA34" s="552"/>
      <c r="AB34" s="549">
        <v>3.88</v>
      </c>
      <c r="AC34" s="173">
        <f t="shared" si="14"/>
        <v>322816</v>
      </c>
      <c r="AD34" s="547">
        <f t="shared" si="15"/>
        <v>38737.92</v>
      </c>
      <c r="AE34" s="75"/>
      <c r="AF34" s="555">
        <f t="shared" si="16"/>
        <v>361553.92</v>
      </c>
      <c r="AG34" s="154">
        <v>1</v>
      </c>
      <c r="AH34" s="552"/>
      <c r="AI34" s="549">
        <v>3.88</v>
      </c>
      <c r="AJ34" s="173">
        <f t="shared" si="17"/>
        <v>322816</v>
      </c>
      <c r="AK34" s="547">
        <f t="shared" si="18"/>
        <v>38737.92</v>
      </c>
      <c r="AL34" s="75"/>
      <c r="AM34" s="555">
        <f t="shared" si="19"/>
        <v>361553.92</v>
      </c>
    </row>
    <row r="35" spans="1:39" ht="27">
      <c r="A35" s="173">
        <f>A34+1</f>
        <v>6</v>
      </c>
      <c r="B35" s="542" t="s">
        <v>505</v>
      </c>
      <c r="C35" s="80"/>
      <c r="D35" s="180"/>
      <c r="E35" s="543" t="s">
        <v>516</v>
      </c>
      <c r="F35" s="180" t="s">
        <v>556</v>
      </c>
      <c r="G35" s="154">
        <v>1</v>
      </c>
      <c r="H35" s="552"/>
      <c r="I35" s="549">
        <v>3.76</v>
      </c>
      <c r="J35" s="559">
        <f t="shared" si="4"/>
        <v>312832</v>
      </c>
      <c r="K35" s="547">
        <f t="shared" si="20"/>
        <v>37539.84</v>
      </c>
      <c r="L35" s="154"/>
      <c r="M35" s="555">
        <f t="shared" si="12"/>
        <v>350371.83999999997</v>
      </c>
      <c r="N35" s="154">
        <v>1</v>
      </c>
      <c r="O35" s="552"/>
      <c r="P35" s="549">
        <v>3.76</v>
      </c>
      <c r="Q35" s="559">
        <f t="shared" si="5"/>
        <v>312832</v>
      </c>
      <c r="R35" s="547">
        <f t="shared" si="13"/>
        <v>37539.84</v>
      </c>
      <c r="S35" s="75"/>
      <c r="T35" s="555">
        <f t="shared" si="11"/>
        <v>350371.83999999997</v>
      </c>
      <c r="U35" s="180">
        <f t="shared" si="6"/>
        <v>0</v>
      </c>
      <c r="V35" s="180">
        <f t="shared" si="7"/>
        <v>0</v>
      </c>
      <c r="W35" s="180">
        <f t="shared" si="8"/>
        <v>0</v>
      </c>
      <c r="X35" s="180">
        <f t="shared" si="9"/>
        <v>0</v>
      </c>
      <c r="Y35" s="180">
        <f t="shared" si="10"/>
        <v>0</v>
      </c>
      <c r="Z35" s="154">
        <v>1</v>
      </c>
      <c r="AA35" s="552"/>
      <c r="AB35" s="549">
        <v>3.88</v>
      </c>
      <c r="AC35" s="173">
        <f t="shared" si="14"/>
        <v>322816</v>
      </c>
      <c r="AD35" s="547">
        <f t="shared" si="15"/>
        <v>38737.92</v>
      </c>
      <c r="AE35" s="75"/>
      <c r="AF35" s="555">
        <f t="shared" si="16"/>
        <v>361553.92</v>
      </c>
      <c r="AG35" s="154">
        <v>1</v>
      </c>
      <c r="AH35" s="552"/>
      <c r="AI35" s="549">
        <v>3.88</v>
      </c>
      <c r="AJ35" s="173">
        <f t="shared" si="17"/>
        <v>322816</v>
      </c>
      <c r="AK35" s="547">
        <f t="shared" si="18"/>
        <v>38737.92</v>
      </c>
      <c r="AL35" s="75"/>
      <c r="AM35" s="555">
        <f t="shared" si="19"/>
        <v>361553.92</v>
      </c>
    </row>
    <row r="36" spans="1:39" ht="27">
      <c r="A36" s="173">
        <f>A35+1</f>
        <v>7</v>
      </c>
      <c r="B36" s="542" t="s">
        <v>505</v>
      </c>
      <c r="C36" s="80"/>
      <c r="D36" s="180"/>
      <c r="E36" s="543" t="s">
        <v>516</v>
      </c>
      <c r="F36" s="180" t="s">
        <v>557</v>
      </c>
      <c r="G36" s="154">
        <v>1</v>
      </c>
      <c r="H36" s="552"/>
      <c r="I36" s="549">
        <v>3.76</v>
      </c>
      <c r="J36" s="559">
        <f t="shared" si="4"/>
        <v>312832</v>
      </c>
      <c r="K36" s="547">
        <f t="shared" si="20"/>
        <v>37539.84</v>
      </c>
      <c r="L36" s="154"/>
      <c r="M36" s="555">
        <f t="shared" si="12"/>
        <v>350371.83999999997</v>
      </c>
      <c r="N36" s="154">
        <v>1</v>
      </c>
      <c r="O36" s="552"/>
      <c r="P36" s="549">
        <v>3.76</v>
      </c>
      <c r="Q36" s="559">
        <f t="shared" si="5"/>
        <v>312832</v>
      </c>
      <c r="R36" s="547">
        <f t="shared" si="13"/>
        <v>37539.84</v>
      </c>
      <c r="S36" s="75"/>
      <c r="T36" s="555">
        <f t="shared" si="11"/>
        <v>350371.83999999997</v>
      </c>
      <c r="U36" s="180">
        <f t="shared" si="6"/>
        <v>0</v>
      </c>
      <c r="V36" s="180">
        <f t="shared" si="7"/>
        <v>0</v>
      </c>
      <c r="W36" s="180">
        <f t="shared" si="8"/>
        <v>0</v>
      </c>
      <c r="X36" s="180">
        <f t="shared" si="9"/>
        <v>0</v>
      </c>
      <c r="Y36" s="180">
        <f t="shared" si="10"/>
        <v>0</v>
      </c>
      <c r="Z36" s="154">
        <v>1</v>
      </c>
      <c r="AA36" s="552"/>
      <c r="AB36" s="549">
        <v>3.88</v>
      </c>
      <c r="AC36" s="173">
        <f t="shared" si="14"/>
        <v>322816</v>
      </c>
      <c r="AD36" s="547">
        <f t="shared" si="15"/>
        <v>38737.92</v>
      </c>
      <c r="AE36" s="75"/>
      <c r="AF36" s="555">
        <f t="shared" si="16"/>
        <v>361553.92</v>
      </c>
      <c r="AG36" s="154">
        <v>1</v>
      </c>
      <c r="AH36" s="552"/>
      <c r="AI36" s="549">
        <v>3.88</v>
      </c>
      <c r="AJ36" s="173">
        <f t="shared" si="17"/>
        <v>322816</v>
      </c>
      <c r="AK36" s="547">
        <f t="shared" si="18"/>
        <v>38737.92</v>
      </c>
      <c r="AL36" s="75"/>
      <c r="AM36" s="555">
        <f t="shared" si="19"/>
        <v>361553.92</v>
      </c>
    </row>
    <row r="37" spans="1:39" ht="14.25">
      <c r="A37" s="173"/>
      <c r="B37" s="746" t="s">
        <v>517</v>
      </c>
      <c r="C37" s="748"/>
      <c r="D37" s="173"/>
      <c r="E37" s="173"/>
      <c r="F37" s="173"/>
      <c r="G37" s="75"/>
      <c r="H37" s="552"/>
      <c r="I37" s="173"/>
      <c r="J37" s="75"/>
      <c r="K37" s="75"/>
      <c r="L37" s="75"/>
      <c r="M37" s="180"/>
      <c r="N37" s="75"/>
      <c r="O37" s="552"/>
      <c r="P37" s="173"/>
      <c r="Q37" s="542"/>
      <c r="R37" s="75"/>
      <c r="S37" s="75"/>
      <c r="T37" s="555"/>
      <c r="U37" s="180"/>
      <c r="V37" s="180"/>
      <c r="W37" s="180"/>
      <c r="X37" s="180"/>
      <c r="Y37" s="180"/>
      <c r="Z37" s="75"/>
      <c r="AA37" s="552"/>
      <c r="AB37" s="173"/>
      <c r="AC37" s="75"/>
      <c r="AD37" s="75"/>
      <c r="AE37" s="75"/>
      <c r="AF37" s="180"/>
      <c r="AG37" s="75"/>
      <c r="AH37" s="552"/>
      <c r="AI37" s="173"/>
      <c r="AJ37" s="173"/>
      <c r="AK37" s="547"/>
      <c r="AL37" s="75"/>
      <c r="AM37" s="555"/>
    </row>
    <row r="38" spans="1:39" ht="27">
      <c r="A38" s="173">
        <f>A36+1</f>
        <v>8</v>
      </c>
      <c r="B38" s="542" t="s">
        <v>518</v>
      </c>
      <c r="C38" s="80" t="s">
        <v>547</v>
      </c>
      <c r="D38" s="173" t="s">
        <v>595</v>
      </c>
      <c r="E38" s="25" t="s">
        <v>515</v>
      </c>
      <c r="F38" s="173" t="s">
        <v>559</v>
      </c>
      <c r="G38" s="75">
        <v>1</v>
      </c>
      <c r="H38" s="552" t="s">
        <v>639</v>
      </c>
      <c r="I38" s="173">
        <v>4.55</v>
      </c>
      <c r="J38" s="559">
        <f t="shared" si="4"/>
        <v>378560</v>
      </c>
      <c r="K38" s="547">
        <f t="shared" si="20"/>
        <v>45427.2</v>
      </c>
      <c r="L38" s="154"/>
      <c r="M38" s="555">
        <f>J38+K38+L38</f>
        <v>423987.2</v>
      </c>
      <c r="N38" s="75">
        <v>1</v>
      </c>
      <c r="O38" s="552" t="s">
        <v>620</v>
      </c>
      <c r="P38" s="558">
        <v>4.41</v>
      </c>
      <c r="Q38" s="559">
        <f t="shared" si="5"/>
        <v>366912</v>
      </c>
      <c r="R38" s="547">
        <f t="shared" si="13"/>
        <v>44029.439999999995</v>
      </c>
      <c r="S38" s="75"/>
      <c r="T38" s="555">
        <f t="shared" si="11"/>
        <v>410941.44</v>
      </c>
      <c r="U38" s="180">
        <f t="shared" si="6"/>
        <v>0</v>
      </c>
      <c r="V38" s="180">
        <f t="shared" si="7"/>
        <v>11648</v>
      </c>
      <c r="W38" s="180">
        <f t="shared" si="8"/>
        <v>1397.760000000002</v>
      </c>
      <c r="X38" s="180">
        <f t="shared" si="9"/>
        <v>0</v>
      </c>
      <c r="Y38" s="180">
        <f t="shared" si="10"/>
        <v>13045.760000000002</v>
      </c>
      <c r="Z38" s="75">
        <v>1</v>
      </c>
      <c r="AA38" s="552" t="s">
        <v>656</v>
      </c>
      <c r="AB38" s="173">
        <v>4.55</v>
      </c>
      <c r="AC38" s="173">
        <f t="shared" si="14"/>
        <v>378560</v>
      </c>
      <c r="AD38" s="547">
        <f t="shared" si="15"/>
        <v>45427.2</v>
      </c>
      <c r="AE38" s="75"/>
      <c r="AF38" s="555">
        <f>AC38+AD38+AE38</f>
        <v>423987.2</v>
      </c>
      <c r="AG38" s="75">
        <v>1</v>
      </c>
      <c r="AH38" s="552" t="s">
        <v>670</v>
      </c>
      <c r="AI38" s="549">
        <v>4.7</v>
      </c>
      <c r="AJ38" s="173">
        <f t="shared" si="17"/>
        <v>391040</v>
      </c>
      <c r="AK38" s="547">
        <f t="shared" si="18"/>
        <v>46924.799999999996</v>
      </c>
      <c r="AL38" s="75"/>
      <c r="AM38" s="555">
        <f>AJ38+AK38+AL38</f>
        <v>437964.8</v>
      </c>
    </row>
    <row r="39" spans="1:39" ht="27">
      <c r="A39" s="173">
        <f>A38+1</f>
        <v>9</v>
      </c>
      <c r="B39" s="542" t="s">
        <v>505</v>
      </c>
      <c r="C39" s="80"/>
      <c r="D39" s="180"/>
      <c r="E39" s="543" t="s">
        <v>516</v>
      </c>
      <c r="F39" s="180" t="s">
        <v>558</v>
      </c>
      <c r="G39" s="75">
        <v>1</v>
      </c>
      <c r="H39" s="552"/>
      <c r="I39" s="549">
        <v>3.76</v>
      </c>
      <c r="J39" s="559">
        <f>I39*83200</f>
        <v>312832</v>
      </c>
      <c r="K39" s="547">
        <f>J39*12%</f>
        <v>37539.84</v>
      </c>
      <c r="L39" s="75"/>
      <c r="M39" s="555">
        <f>J39+K39+L39</f>
        <v>350371.83999999997</v>
      </c>
      <c r="N39" s="75">
        <v>1</v>
      </c>
      <c r="O39" s="552"/>
      <c r="P39" s="549">
        <v>3.76</v>
      </c>
      <c r="Q39" s="559">
        <f t="shared" si="5"/>
        <v>312832</v>
      </c>
      <c r="R39" s="547">
        <f t="shared" si="13"/>
        <v>37539.84</v>
      </c>
      <c r="S39" s="75"/>
      <c r="T39" s="555">
        <f t="shared" si="11"/>
        <v>350371.83999999997</v>
      </c>
      <c r="U39" s="180">
        <f t="shared" si="6"/>
        <v>0</v>
      </c>
      <c r="V39" s="180">
        <f t="shared" si="7"/>
        <v>0</v>
      </c>
      <c r="W39" s="180">
        <f t="shared" si="8"/>
        <v>0</v>
      </c>
      <c r="X39" s="180">
        <f t="shared" si="9"/>
        <v>0</v>
      </c>
      <c r="Y39" s="180">
        <f t="shared" si="10"/>
        <v>0</v>
      </c>
      <c r="Z39" s="75">
        <v>1</v>
      </c>
      <c r="AA39" s="552"/>
      <c r="AB39" s="549">
        <v>3.88</v>
      </c>
      <c r="AC39" s="173">
        <f t="shared" si="14"/>
        <v>322816</v>
      </c>
      <c r="AD39" s="547">
        <f t="shared" si="15"/>
        <v>38737.92</v>
      </c>
      <c r="AE39" s="75"/>
      <c r="AF39" s="555">
        <f>AC39+AD39+AE39</f>
        <v>361553.92</v>
      </c>
      <c r="AG39" s="75">
        <v>1</v>
      </c>
      <c r="AH39" s="552"/>
      <c r="AI39" s="549">
        <v>3.88</v>
      </c>
      <c r="AJ39" s="173">
        <f>AI39*83200</f>
        <v>322816</v>
      </c>
      <c r="AK39" s="547">
        <f>AJ39*12%</f>
        <v>38737.92</v>
      </c>
      <c r="AL39" s="75"/>
      <c r="AM39" s="555">
        <f>AJ39+AK39+AL39</f>
        <v>361553.92</v>
      </c>
    </row>
    <row r="40" spans="1:39" ht="27">
      <c r="A40" s="173">
        <f>A39+1</f>
        <v>10</v>
      </c>
      <c r="B40" s="542" t="s">
        <v>505</v>
      </c>
      <c r="C40" s="80"/>
      <c r="D40" s="180"/>
      <c r="E40" s="543" t="s">
        <v>516</v>
      </c>
      <c r="F40" s="180" t="s">
        <v>560</v>
      </c>
      <c r="G40" s="75">
        <v>1</v>
      </c>
      <c r="H40" s="552"/>
      <c r="I40" s="549">
        <v>3.76</v>
      </c>
      <c r="J40" s="559">
        <f>I40*83200</f>
        <v>312832</v>
      </c>
      <c r="K40" s="547">
        <f>J40*12%</f>
        <v>37539.84</v>
      </c>
      <c r="L40" s="75"/>
      <c r="M40" s="555">
        <f>J40+K40+L40</f>
        <v>350371.83999999997</v>
      </c>
      <c r="N40" s="75">
        <v>1</v>
      </c>
      <c r="O40" s="552"/>
      <c r="P40" s="549">
        <v>3.76</v>
      </c>
      <c r="Q40" s="559">
        <f t="shared" si="5"/>
        <v>312832</v>
      </c>
      <c r="R40" s="547">
        <f t="shared" si="13"/>
        <v>37539.84</v>
      </c>
      <c r="S40" s="75"/>
      <c r="T40" s="555">
        <f t="shared" si="11"/>
        <v>350371.83999999997</v>
      </c>
      <c r="U40" s="180">
        <f t="shared" si="6"/>
        <v>0</v>
      </c>
      <c r="V40" s="180">
        <f t="shared" si="7"/>
        <v>0</v>
      </c>
      <c r="W40" s="180">
        <f t="shared" si="8"/>
        <v>0</v>
      </c>
      <c r="X40" s="180">
        <f t="shared" si="9"/>
        <v>0</v>
      </c>
      <c r="Y40" s="180">
        <f t="shared" si="10"/>
        <v>0</v>
      </c>
      <c r="Z40" s="75">
        <v>1</v>
      </c>
      <c r="AA40" s="552"/>
      <c r="AB40" s="549">
        <v>3.88</v>
      </c>
      <c r="AC40" s="173">
        <f t="shared" si="14"/>
        <v>322816</v>
      </c>
      <c r="AD40" s="547">
        <f t="shared" si="15"/>
        <v>38737.92</v>
      </c>
      <c r="AE40" s="75"/>
      <c r="AF40" s="555">
        <f>AC40+AD40+AE40</f>
        <v>361553.92</v>
      </c>
      <c r="AG40" s="75">
        <v>1</v>
      </c>
      <c r="AH40" s="552"/>
      <c r="AI40" s="549">
        <v>3.88</v>
      </c>
      <c r="AJ40" s="173">
        <f>AI40*83200</f>
        <v>322816</v>
      </c>
      <c r="AK40" s="547">
        <f>AJ40*12%</f>
        <v>38737.92</v>
      </c>
      <c r="AL40" s="75"/>
      <c r="AM40" s="555">
        <f>AJ40+AK40+AL40</f>
        <v>361553.92</v>
      </c>
    </row>
    <row r="41" spans="1:39" ht="27">
      <c r="A41" s="173">
        <f>A40+1</f>
        <v>11</v>
      </c>
      <c r="B41" s="542" t="s">
        <v>505</v>
      </c>
      <c r="C41" s="80"/>
      <c r="D41" s="180"/>
      <c r="E41" s="543" t="s">
        <v>516</v>
      </c>
      <c r="F41" s="180" t="s">
        <v>561</v>
      </c>
      <c r="G41" s="75">
        <v>1</v>
      </c>
      <c r="H41" s="552"/>
      <c r="I41" s="549">
        <v>3.76</v>
      </c>
      <c r="J41" s="559">
        <f>I41*83200</f>
        <v>312832</v>
      </c>
      <c r="K41" s="547">
        <f>J41*12%</f>
        <v>37539.84</v>
      </c>
      <c r="L41" s="75"/>
      <c r="M41" s="555">
        <f>J41+K41+L41</f>
        <v>350371.83999999997</v>
      </c>
      <c r="N41" s="75">
        <v>1</v>
      </c>
      <c r="O41" s="552"/>
      <c r="P41" s="549">
        <v>3.76</v>
      </c>
      <c r="Q41" s="559">
        <f t="shared" si="5"/>
        <v>312832</v>
      </c>
      <c r="R41" s="547">
        <f t="shared" si="13"/>
        <v>37539.84</v>
      </c>
      <c r="S41" s="75"/>
      <c r="T41" s="555">
        <f t="shared" si="11"/>
        <v>350371.83999999997</v>
      </c>
      <c r="U41" s="180">
        <f t="shared" si="6"/>
        <v>0</v>
      </c>
      <c r="V41" s="180">
        <f t="shared" si="7"/>
        <v>0</v>
      </c>
      <c r="W41" s="180">
        <f t="shared" si="8"/>
        <v>0</v>
      </c>
      <c r="X41" s="180">
        <f t="shared" si="9"/>
        <v>0</v>
      </c>
      <c r="Y41" s="180">
        <f t="shared" si="10"/>
        <v>0</v>
      </c>
      <c r="Z41" s="75">
        <v>1</v>
      </c>
      <c r="AA41" s="552"/>
      <c r="AB41" s="549">
        <v>3.88</v>
      </c>
      <c r="AC41" s="173">
        <f t="shared" si="14"/>
        <v>322816</v>
      </c>
      <c r="AD41" s="547">
        <f t="shared" si="15"/>
        <v>38737.92</v>
      </c>
      <c r="AE41" s="75"/>
      <c r="AF41" s="555">
        <f>AC41+AD41+AE41</f>
        <v>361553.92</v>
      </c>
      <c r="AG41" s="75">
        <v>1</v>
      </c>
      <c r="AH41" s="552"/>
      <c r="AI41" s="549">
        <v>3.88</v>
      </c>
      <c r="AJ41" s="173">
        <f>AI41*83200</f>
        <v>322816</v>
      </c>
      <c r="AK41" s="547">
        <f>AJ41*12%</f>
        <v>38737.92</v>
      </c>
      <c r="AL41" s="75"/>
      <c r="AM41" s="555">
        <f>AJ41+AK41+AL41</f>
        <v>361553.92</v>
      </c>
    </row>
    <row r="42" spans="1:39" ht="27">
      <c r="A42" s="173">
        <f>A41+1</f>
        <v>12</v>
      </c>
      <c r="B42" s="542" t="s">
        <v>505</v>
      </c>
      <c r="C42" s="80"/>
      <c r="D42" s="180"/>
      <c r="E42" s="543" t="s">
        <v>516</v>
      </c>
      <c r="F42" s="180" t="s">
        <v>562</v>
      </c>
      <c r="G42" s="75">
        <v>1</v>
      </c>
      <c r="H42" s="552"/>
      <c r="I42" s="549">
        <v>3.76</v>
      </c>
      <c r="J42" s="559">
        <f>I42*83200</f>
        <v>312832</v>
      </c>
      <c r="K42" s="547">
        <f>J42*12%</f>
        <v>37539.84</v>
      </c>
      <c r="L42" s="75"/>
      <c r="M42" s="555">
        <f>J42+K42+L42</f>
        <v>350371.83999999997</v>
      </c>
      <c r="N42" s="75">
        <v>1</v>
      </c>
      <c r="O42" s="552"/>
      <c r="P42" s="549">
        <v>3.76</v>
      </c>
      <c r="Q42" s="559">
        <f t="shared" si="5"/>
        <v>312832</v>
      </c>
      <c r="R42" s="547">
        <f t="shared" si="13"/>
        <v>37539.84</v>
      </c>
      <c r="S42" s="75"/>
      <c r="T42" s="555">
        <f t="shared" si="11"/>
        <v>350371.83999999997</v>
      </c>
      <c r="U42" s="180">
        <f t="shared" si="6"/>
        <v>0</v>
      </c>
      <c r="V42" s="180">
        <f t="shared" si="7"/>
        <v>0</v>
      </c>
      <c r="W42" s="180">
        <f t="shared" si="8"/>
        <v>0</v>
      </c>
      <c r="X42" s="180">
        <f t="shared" si="9"/>
        <v>0</v>
      </c>
      <c r="Y42" s="180">
        <f t="shared" si="10"/>
        <v>0</v>
      </c>
      <c r="Z42" s="75">
        <v>1</v>
      </c>
      <c r="AA42" s="552"/>
      <c r="AB42" s="549">
        <v>3.88</v>
      </c>
      <c r="AC42" s="173">
        <f t="shared" si="14"/>
        <v>322816</v>
      </c>
      <c r="AD42" s="547">
        <f t="shared" si="15"/>
        <v>38737.92</v>
      </c>
      <c r="AE42" s="75"/>
      <c r="AF42" s="555">
        <f>AC42+AD42+AE42</f>
        <v>361553.92</v>
      </c>
      <c r="AG42" s="75">
        <v>1</v>
      </c>
      <c r="AH42" s="552"/>
      <c r="AI42" s="549">
        <v>3.88</v>
      </c>
      <c r="AJ42" s="173">
        <f>AI42*83200</f>
        <v>322816</v>
      </c>
      <c r="AK42" s="547">
        <f>AJ42*12%</f>
        <v>38737.92</v>
      </c>
      <c r="AL42" s="75"/>
      <c r="AM42" s="555">
        <f>AJ42+AK42+AL42</f>
        <v>361553.92</v>
      </c>
    </row>
    <row r="43" spans="1:39" s="183" customFormat="1" ht="27">
      <c r="A43" s="178"/>
      <c r="B43" s="359" t="s">
        <v>135</v>
      </c>
      <c r="C43" s="359"/>
      <c r="D43" s="182" t="s">
        <v>1</v>
      </c>
      <c r="E43" s="182" t="s">
        <v>1</v>
      </c>
      <c r="F43" s="182" t="s">
        <v>1</v>
      </c>
      <c r="G43" s="546">
        <f>SUM(G29:G42)</f>
        <v>12</v>
      </c>
      <c r="H43" s="553" t="s">
        <v>1</v>
      </c>
      <c r="I43" s="182" t="s">
        <v>1</v>
      </c>
      <c r="J43" s="546">
        <f>SUM(J29:J42)</f>
        <v>3989440</v>
      </c>
      <c r="K43" s="546">
        <f>SUM(K29:K42)</f>
        <v>478732.79999999993</v>
      </c>
      <c r="L43" s="546">
        <f>SUM(L29:L42)</f>
        <v>0</v>
      </c>
      <c r="M43" s="546">
        <f>SUM(M29:M42)</f>
        <v>4468172.799999999</v>
      </c>
      <c r="N43" s="546">
        <f>SUM(N29:N42)</f>
        <v>12</v>
      </c>
      <c r="O43" s="552" t="s">
        <v>1</v>
      </c>
      <c r="P43" s="182" t="s">
        <v>1</v>
      </c>
      <c r="Q43" s="546">
        <f>SUM(Q29:Q42)</f>
        <v>3965312</v>
      </c>
      <c r="R43" s="546">
        <f>SUM(R29:R42)</f>
        <v>475837.43999999994</v>
      </c>
      <c r="S43" s="546">
        <f aca="true" t="shared" si="21" ref="S43:AM43">SUM(S29:S42)</f>
        <v>0</v>
      </c>
      <c r="T43" s="546">
        <f t="shared" si="21"/>
        <v>4441149.439999999</v>
      </c>
      <c r="U43" s="546">
        <f t="shared" si="21"/>
        <v>0</v>
      </c>
      <c r="V43" s="546">
        <f t="shared" si="21"/>
        <v>24128</v>
      </c>
      <c r="W43" s="546">
        <f t="shared" si="21"/>
        <v>2895.3600000000006</v>
      </c>
      <c r="X43" s="546">
        <f t="shared" si="21"/>
        <v>0</v>
      </c>
      <c r="Y43" s="546">
        <f t="shared" si="21"/>
        <v>27023.36</v>
      </c>
      <c r="Z43" s="546">
        <f t="shared" si="21"/>
        <v>12</v>
      </c>
      <c r="AA43" s="552" t="s">
        <v>1</v>
      </c>
      <c r="AB43" s="546" t="s">
        <v>1</v>
      </c>
      <c r="AC43" s="546">
        <f t="shared" si="21"/>
        <v>4037696</v>
      </c>
      <c r="AD43" s="546">
        <f t="shared" si="21"/>
        <v>484523.5199999999</v>
      </c>
      <c r="AE43" s="546">
        <f t="shared" si="21"/>
        <v>0</v>
      </c>
      <c r="AF43" s="546">
        <f t="shared" si="21"/>
        <v>4522219.52</v>
      </c>
      <c r="AG43" s="546">
        <f t="shared" si="21"/>
        <v>12</v>
      </c>
      <c r="AH43" s="552" t="s">
        <v>1</v>
      </c>
      <c r="AI43" s="546" t="s">
        <v>1</v>
      </c>
      <c r="AJ43" s="546">
        <f t="shared" si="21"/>
        <v>4064320</v>
      </c>
      <c r="AK43" s="546">
        <f t="shared" si="21"/>
        <v>487718.39999999985</v>
      </c>
      <c r="AL43" s="546">
        <f t="shared" si="21"/>
        <v>0</v>
      </c>
      <c r="AM43" s="546">
        <f t="shared" si="21"/>
        <v>4552038.399999999</v>
      </c>
    </row>
    <row r="44" spans="1:39" s="183" customFormat="1" ht="14.25">
      <c r="A44" s="178"/>
      <c r="B44" s="359"/>
      <c r="C44" s="359"/>
      <c r="D44" s="182"/>
      <c r="E44" s="182"/>
      <c r="F44" s="182"/>
      <c r="G44" s="182"/>
      <c r="H44" s="553"/>
      <c r="I44" s="182"/>
      <c r="J44" s="182"/>
      <c r="K44" s="182"/>
      <c r="L44" s="182"/>
      <c r="M44" s="182"/>
      <c r="N44" s="182"/>
      <c r="O44" s="552"/>
      <c r="P44" s="182"/>
      <c r="Q44" s="560"/>
      <c r="R44" s="182"/>
      <c r="S44" s="182"/>
      <c r="T44" s="182"/>
      <c r="U44" s="182"/>
      <c r="V44" s="182"/>
      <c r="W44" s="182"/>
      <c r="X44" s="182"/>
      <c r="Y44" s="182"/>
      <c r="Z44" s="182"/>
      <c r="AA44" s="552"/>
      <c r="AB44" s="182"/>
      <c r="AC44" s="182"/>
      <c r="AD44" s="182"/>
      <c r="AE44" s="182"/>
      <c r="AF44" s="182"/>
      <c r="AG44" s="182"/>
      <c r="AH44" s="552"/>
      <c r="AI44" s="182"/>
      <c r="AJ44" s="182"/>
      <c r="AK44" s="182"/>
      <c r="AL44" s="182"/>
      <c r="AM44" s="182"/>
    </row>
    <row r="45" spans="1:39" s="183" customFormat="1" ht="14.25">
      <c r="A45" s="178"/>
      <c r="B45" s="749" t="s">
        <v>490</v>
      </c>
      <c r="C45" s="750"/>
      <c r="D45" s="182"/>
      <c r="E45" s="182"/>
      <c r="F45" s="182"/>
      <c r="G45" s="182"/>
      <c r="H45" s="553"/>
      <c r="I45" s="182"/>
      <c r="J45" s="182"/>
      <c r="K45" s="182"/>
      <c r="L45" s="182"/>
      <c r="M45" s="182"/>
      <c r="N45" s="182"/>
      <c r="O45" s="552"/>
      <c r="P45" s="182"/>
      <c r="Q45" s="560"/>
      <c r="R45" s="182"/>
      <c r="S45" s="182"/>
      <c r="T45" s="182"/>
      <c r="U45" s="182"/>
      <c r="V45" s="182"/>
      <c r="W45" s="182"/>
      <c r="X45" s="182"/>
      <c r="Y45" s="182"/>
      <c r="Z45" s="182"/>
      <c r="AA45" s="552"/>
      <c r="AB45" s="182"/>
      <c r="AC45" s="182"/>
      <c r="AD45" s="182"/>
      <c r="AE45" s="182"/>
      <c r="AF45" s="182"/>
      <c r="AG45" s="182"/>
      <c r="AH45" s="552"/>
      <c r="AI45" s="182"/>
      <c r="AJ45" s="182"/>
      <c r="AK45" s="182"/>
      <c r="AL45" s="182"/>
      <c r="AM45" s="182"/>
    </row>
    <row r="46" spans="1:39" s="183" customFormat="1" ht="27">
      <c r="A46" s="178">
        <v>1</v>
      </c>
      <c r="B46" s="57" t="s">
        <v>519</v>
      </c>
      <c r="C46" s="543" t="s">
        <v>547</v>
      </c>
      <c r="D46" s="180" t="s">
        <v>596</v>
      </c>
      <c r="E46" s="25" t="s">
        <v>513</v>
      </c>
      <c r="F46" s="180" t="s">
        <v>563</v>
      </c>
      <c r="G46" s="546">
        <v>1</v>
      </c>
      <c r="H46" s="552" t="s">
        <v>640</v>
      </c>
      <c r="I46" s="549">
        <v>4.86</v>
      </c>
      <c r="J46" s="559">
        <f>I46*83200</f>
        <v>404352</v>
      </c>
      <c r="K46" s="547">
        <f>J46*12%</f>
        <v>48522.24</v>
      </c>
      <c r="L46" s="182"/>
      <c r="M46" s="546">
        <f>J46+K46+L46</f>
        <v>452874.24</v>
      </c>
      <c r="N46" s="546">
        <v>1</v>
      </c>
      <c r="O46" s="552" t="s">
        <v>621</v>
      </c>
      <c r="P46" s="557">
        <v>4.7</v>
      </c>
      <c r="Q46" s="559">
        <f>P46*83200</f>
        <v>391040</v>
      </c>
      <c r="R46" s="547">
        <f>Q46*12%</f>
        <v>46924.799999999996</v>
      </c>
      <c r="S46" s="182"/>
      <c r="T46" s="546">
        <f>Q46+R46+S46</f>
        <v>437964.8</v>
      </c>
      <c r="U46" s="180">
        <f aca="true" t="shared" si="22" ref="U46:U56">+G46-N46</f>
        <v>0</v>
      </c>
      <c r="V46" s="180">
        <f aca="true" t="shared" si="23" ref="V46:V56">J46-Q46</f>
        <v>13312</v>
      </c>
      <c r="W46" s="180">
        <f aca="true" t="shared" si="24" ref="W46:W56">K46-R46</f>
        <v>1597.4400000000023</v>
      </c>
      <c r="X46" s="180">
        <f aca="true" t="shared" si="25" ref="X46:X56">L46-S46</f>
        <v>0</v>
      </c>
      <c r="Y46" s="180">
        <f aca="true" t="shared" si="26" ref="Y46:Y56">V46+W46+X46</f>
        <v>14909.440000000002</v>
      </c>
      <c r="Z46" s="546">
        <v>1</v>
      </c>
      <c r="AA46" s="552" t="s">
        <v>657</v>
      </c>
      <c r="AB46" s="557">
        <v>5.01</v>
      </c>
      <c r="AC46" s="173">
        <f aca="true" t="shared" si="27" ref="AC46:AC56">AB46*83200</f>
        <v>416832</v>
      </c>
      <c r="AD46" s="547">
        <f aca="true" t="shared" si="28" ref="AD46:AD56">AC46*12%</f>
        <v>50019.84</v>
      </c>
      <c r="AE46" s="75"/>
      <c r="AF46" s="555">
        <f>AC46+AD46+AE46</f>
        <v>466851.83999999997</v>
      </c>
      <c r="AG46" s="546">
        <v>1</v>
      </c>
      <c r="AH46" s="552" t="s">
        <v>671</v>
      </c>
      <c r="AI46" s="557">
        <v>5.18</v>
      </c>
      <c r="AJ46" s="173">
        <f aca="true" t="shared" si="29" ref="AJ46:AJ56">AI46*83200</f>
        <v>430976</v>
      </c>
      <c r="AK46" s="547">
        <f aca="true" t="shared" si="30" ref="AK46:AK56">AJ46*12%</f>
        <v>51717.119999999995</v>
      </c>
      <c r="AL46" s="75"/>
      <c r="AM46" s="555">
        <f>AJ46+AK46+AL46</f>
        <v>482693.12</v>
      </c>
    </row>
    <row r="47" spans="1:39" s="183" customFormat="1" ht="31.5" customHeight="1">
      <c r="A47" s="178"/>
      <c r="B47" s="749" t="s">
        <v>520</v>
      </c>
      <c r="C47" s="750"/>
      <c r="D47" s="182"/>
      <c r="E47" s="182"/>
      <c r="F47" s="182"/>
      <c r="G47" s="546"/>
      <c r="H47" s="553"/>
      <c r="I47" s="557"/>
      <c r="J47" s="182"/>
      <c r="K47" s="182"/>
      <c r="L47" s="182"/>
      <c r="M47" s="182"/>
      <c r="N47" s="546"/>
      <c r="O47" s="552"/>
      <c r="P47" s="557"/>
      <c r="Q47" s="560"/>
      <c r="R47" s="182"/>
      <c r="S47" s="182"/>
      <c r="T47" s="546"/>
      <c r="U47" s="180"/>
      <c r="V47" s="180"/>
      <c r="W47" s="180"/>
      <c r="X47" s="180"/>
      <c r="Y47" s="180"/>
      <c r="Z47" s="546"/>
      <c r="AA47" s="552"/>
      <c r="AB47" s="182"/>
      <c r="AC47" s="182"/>
      <c r="AD47" s="182"/>
      <c r="AE47" s="182"/>
      <c r="AF47" s="182"/>
      <c r="AG47" s="546"/>
      <c r="AH47" s="552"/>
      <c r="AI47" s="182"/>
      <c r="AJ47" s="173"/>
      <c r="AK47" s="547"/>
      <c r="AL47" s="75"/>
      <c r="AM47" s="555"/>
    </row>
    <row r="48" spans="1:39" s="183" customFormat="1" ht="27">
      <c r="A48" s="178">
        <v>2</v>
      </c>
      <c r="B48" s="542" t="s">
        <v>505</v>
      </c>
      <c r="C48" s="173"/>
      <c r="D48" s="173"/>
      <c r="E48" s="25" t="s">
        <v>515</v>
      </c>
      <c r="F48" s="173" t="s">
        <v>848</v>
      </c>
      <c r="G48" s="546">
        <v>1</v>
      </c>
      <c r="H48" s="553"/>
      <c r="I48" s="549">
        <v>4.55</v>
      </c>
      <c r="J48" s="559">
        <f>I48*83200</f>
        <v>378560</v>
      </c>
      <c r="K48" s="547">
        <f aca="true" t="shared" si="31" ref="K48:K54">J48*12%</f>
        <v>45427.2</v>
      </c>
      <c r="L48" s="182"/>
      <c r="M48" s="546">
        <f>J48+K48+L48</f>
        <v>423987.2</v>
      </c>
      <c r="N48" s="546">
        <v>1</v>
      </c>
      <c r="O48" s="552"/>
      <c r="P48" s="549">
        <v>4.55</v>
      </c>
      <c r="Q48" s="559">
        <f>P48*83200</f>
        <v>378560</v>
      </c>
      <c r="R48" s="547">
        <f aca="true" t="shared" si="32" ref="R48:R56">Q48*12%</f>
        <v>45427.2</v>
      </c>
      <c r="S48" s="182"/>
      <c r="T48" s="546">
        <f aca="true" t="shared" si="33" ref="T48:T56">Q48+R48+S48</f>
        <v>423987.2</v>
      </c>
      <c r="U48" s="180">
        <f t="shared" si="22"/>
        <v>0</v>
      </c>
      <c r="V48" s="180">
        <f t="shared" si="23"/>
        <v>0</v>
      </c>
      <c r="W48" s="180">
        <f t="shared" si="24"/>
        <v>0</v>
      </c>
      <c r="X48" s="180">
        <f t="shared" si="25"/>
        <v>0</v>
      </c>
      <c r="Y48" s="180">
        <f t="shared" si="26"/>
        <v>0</v>
      </c>
      <c r="Z48" s="546">
        <v>1</v>
      </c>
      <c r="AA48" s="552"/>
      <c r="AB48" s="557">
        <v>4.7</v>
      </c>
      <c r="AC48" s="173">
        <f t="shared" si="27"/>
        <v>391040</v>
      </c>
      <c r="AD48" s="547">
        <f t="shared" si="28"/>
        <v>46924.799999999996</v>
      </c>
      <c r="AE48" s="75"/>
      <c r="AF48" s="555">
        <f>AC48+AD48+AE48</f>
        <v>437964.8</v>
      </c>
      <c r="AG48" s="546">
        <v>1</v>
      </c>
      <c r="AH48" s="552"/>
      <c r="AI48" s="557">
        <v>4.7</v>
      </c>
      <c r="AJ48" s="173">
        <f t="shared" si="29"/>
        <v>391040</v>
      </c>
      <c r="AK48" s="547">
        <f t="shared" si="30"/>
        <v>46924.799999999996</v>
      </c>
      <c r="AL48" s="75"/>
      <c r="AM48" s="555">
        <f>AJ48+AK48+AL48</f>
        <v>437964.8</v>
      </c>
    </row>
    <row r="49" spans="1:39" s="183" customFormat="1" ht="27">
      <c r="A49" s="178">
        <v>3</v>
      </c>
      <c r="B49" s="57" t="s">
        <v>521</v>
      </c>
      <c r="C49" s="543" t="s">
        <v>547</v>
      </c>
      <c r="D49" s="180" t="s">
        <v>597</v>
      </c>
      <c r="E49" s="543" t="s">
        <v>516</v>
      </c>
      <c r="F49" s="180" t="s">
        <v>564</v>
      </c>
      <c r="G49" s="546">
        <v>1</v>
      </c>
      <c r="H49" s="552" t="s">
        <v>641</v>
      </c>
      <c r="I49" s="549">
        <v>3.31</v>
      </c>
      <c r="J49" s="559">
        <f>I49*83200</f>
        <v>275392</v>
      </c>
      <c r="K49" s="547">
        <f t="shared" si="31"/>
        <v>33047.04</v>
      </c>
      <c r="L49" s="182"/>
      <c r="M49" s="546">
        <f>J49+K49+L49</f>
        <v>308439.04</v>
      </c>
      <c r="N49" s="546">
        <v>1</v>
      </c>
      <c r="O49" s="552" t="s">
        <v>623</v>
      </c>
      <c r="P49" s="564">
        <v>3.21</v>
      </c>
      <c r="Q49" s="559">
        <f>P49*83200</f>
        <v>267072</v>
      </c>
      <c r="R49" s="547">
        <f t="shared" si="32"/>
        <v>32048.64</v>
      </c>
      <c r="S49" s="182"/>
      <c r="T49" s="546">
        <f t="shared" si="33"/>
        <v>299120.64</v>
      </c>
      <c r="U49" s="180">
        <f t="shared" si="22"/>
        <v>0</v>
      </c>
      <c r="V49" s="180">
        <f t="shared" si="23"/>
        <v>8320</v>
      </c>
      <c r="W49" s="180">
        <f t="shared" si="24"/>
        <v>998.4000000000015</v>
      </c>
      <c r="X49" s="180">
        <f t="shared" si="25"/>
        <v>0</v>
      </c>
      <c r="Y49" s="180">
        <f t="shared" si="26"/>
        <v>9318.400000000001</v>
      </c>
      <c r="Z49" s="546">
        <v>1</v>
      </c>
      <c r="AA49" s="552" t="s">
        <v>658</v>
      </c>
      <c r="AB49" s="557">
        <v>3.42</v>
      </c>
      <c r="AC49" s="173">
        <f t="shared" si="27"/>
        <v>284544</v>
      </c>
      <c r="AD49" s="547">
        <f t="shared" si="28"/>
        <v>34145.28</v>
      </c>
      <c r="AE49" s="75"/>
      <c r="AF49" s="555">
        <f>AC49+AD49+AE49</f>
        <v>318689.28</v>
      </c>
      <c r="AG49" s="546">
        <v>1</v>
      </c>
      <c r="AH49" s="552" t="s">
        <v>672</v>
      </c>
      <c r="AI49" s="557">
        <v>3.53</v>
      </c>
      <c r="AJ49" s="173">
        <f t="shared" si="29"/>
        <v>293696</v>
      </c>
      <c r="AK49" s="547">
        <f t="shared" si="30"/>
        <v>35243.52</v>
      </c>
      <c r="AL49" s="75"/>
      <c r="AM49" s="555">
        <f>AJ49+AK49+AL49</f>
        <v>328939.52</v>
      </c>
    </row>
    <row r="50" spans="1:39" s="183" customFormat="1" ht="27">
      <c r="A50" s="178">
        <v>4</v>
      </c>
      <c r="B50" s="57" t="s">
        <v>522</v>
      </c>
      <c r="C50" s="543" t="s">
        <v>548</v>
      </c>
      <c r="D50" s="180" t="s">
        <v>598</v>
      </c>
      <c r="E50" s="543" t="s">
        <v>516</v>
      </c>
      <c r="F50" s="180" t="s">
        <v>565</v>
      </c>
      <c r="G50" s="546">
        <v>1</v>
      </c>
      <c r="H50" s="552" t="s">
        <v>642</v>
      </c>
      <c r="I50" s="549">
        <v>3.42</v>
      </c>
      <c r="J50" s="559">
        <f>I50*83200</f>
        <v>284544</v>
      </c>
      <c r="K50" s="547">
        <f t="shared" si="31"/>
        <v>34145.28</v>
      </c>
      <c r="L50" s="182"/>
      <c r="M50" s="546">
        <f>J50+K50+L50</f>
        <v>318689.28</v>
      </c>
      <c r="N50" s="546">
        <v>1</v>
      </c>
      <c r="O50" s="552" t="s">
        <v>622</v>
      </c>
      <c r="P50" s="564">
        <v>3.31</v>
      </c>
      <c r="Q50" s="559">
        <f>P50*83200</f>
        <v>275392</v>
      </c>
      <c r="R50" s="547">
        <f t="shared" si="32"/>
        <v>33047.04</v>
      </c>
      <c r="S50" s="182"/>
      <c r="T50" s="546">
        <f t="shared" si="33"/>
        <v>308439.04</v>
      </c>
      <c r="U50" s="180">
        <f t="shared" si="22"/>
        <v>0</v>
      </c>
      <c r="V50" s="180">
        <f t="shared" si="23"/>
        <v>9152</v>
      </c>
      <c r="W50" s="180">
        <f t="shared" si="24"/>
        <v>1098.239999999998</v>
      </c>
      <c r="X50" s="180">
        <f t="shared" si="25"/>
        <v>0</v>
      </c>
      <c r="Y50" s="180">
        <f t="shared" si="26"/>
        <v>10250.239999999998</v>
      </c>
      <c r="Z50" s="546">
        <v>1</v>
      </c>
      <c r="AA50" s="552" t="s">
        <v>627</v>
      </c>
      <c r="AB50" s="557">
        <v>3.53</v>
      </c>
      <c r="AC50" s="173">
        <f t="shared" si="27"/>
        <v>293696</v>
      </c>
      <c r="AD50" s="547">
        <f t="shared" si="28"/>
        <v>35243.52</v>
      </c>
      <c r="AE50" s="75"/>
      <c r="AF50" s="555">
        <f>AC50+AD50+AE50</f>
        <v>328939.52</v>
      </c>
      <c r="AG50" s="546">
        <v>1</v>
      </c>
      <c r="AH50" s="552" t="s">
        <v>635</v>
      </c>
      <c r="AI50" s="557">
        <v>3.64</v>
      </c>
      <c r="AJ50" s="173">
        <f t="shared" si="29"/>
        <v>302848</v>
      </c>
      <c r="AK50" s="547">
        <f t="shared" si="30"/>
        <v>36341.76</v>
      </c>
      <c r="AL50" s="75"/>
      <c r="AM50" s="555">
        <f>AJ50+AK50+AL50</f>
        <v>339189.76</v>
      </c>
    </row>
    <row r="51" spans="1:39" s="183" customFormat="1" ht="27">
      <c r="A51" s="178">
        <v>5</v>
      </c>
      <c r="B51" s="57" t="s">
        <v>523</v>
      </c>
      <c r="C51" s="543" t="s">
        <v>547</v>
      </c>
      <c r="D51" s="180" t="s">
        <v>599</v>
      </c>
      <c r="E51" s="543" t="s">
        <v>516</v>
      </c>
      <c r="F51" s="180" t="s">
        <v>566</v>
      </c>
      <c r="G51" s="546">
        <v>1</v>
      </c>
      <c r="H51" s="552" t="s">
        <v>643</v>
      </c>
      <c r="I51" s="549">
        <v>4.01</v>
      </c>
      <c r="J51" s="559">
        <f>I51*83200</f>
        <v>333632</v>
      </c>
      <c r="K51" s="547">
        <f t="shared" si="31"/>
        <v>40035.84</v>
      </c>
      <c r="L51" s="555">
        <f>J51*5%</f>
        <v>16681.600000000002</v>
      </c>
      <c r="M51" s="546">
        <f>J51+K51+L51</f>
        <v>390349.43999999994</v>
      </c>
      <c r="N51" s="546">
        <v>1</v>
      </c>
      <c r="O51" s="552" t="s">
        <v>624</v>
      </c>
      <c r="P51" s="564">
        <v>4.01</v>
      </c>
      <c r="Q51" s="559">
        <f>P51*83200</f>
        <v>333632</v>
      </c>
      <c r="R51" s="547">
        <f t="shared" si="32"/>
        <v>40035.84</v>
      </c>
      <c r="S51" s="555">
        <f>Q51*5%</f>
        <v>16681.600000000002</v>
      </c>
      <c r="T51" s="546">
        <f t="shared" si="33"/>
        <v>390349.43999999994</v>
      </c>
      <c r="U51" s="180">
        <f t="shared" si="22"/>
        <v>0</v>
      </c>
      <c r="V51" s="180">
        <f t="shared" si="23"/>
        <v>0</v>
      </c>
      <c r="W51" s="180">
        <f t="shared" si="24"/>
        <v>0</v>
      </c>
      <c r="X51" s="180">
        <f>L51-S51</f>
        <v>0</v>
      </c>
      <c r="Y51" s="180">
        <f t="shared" si="26"/>
        <v>0</v>
      </c>
      <c r="Z51" s="546">
        <v>1</v>
      </c>
      <c r="AA51" s="552" t="s">
        <v>659</v>
      </c>
      <c r="AB51" s="557">
        <v>4.01</v>
      </c>
      <c r="AC51" s="173">
        <f t="shared" si="27"/>
        <v>333632</v>
      </c>
      <c r="AD51" s="547">
        <f t="shared" si="28"/>
        <v>40035.84</v>
      </c>
      <c r="AE51" s="547">
        <f>AC51*5%</f>
        <v>16681.600000000002</v>
      </c>
      <c r="AF51" s="555">
        <f>AC51+AD51+AE51</f>
        <v>390349.43999999994</v>
      </c>
      <c r="AG51" s="546">
        <v>1</v>
      </c>
      <c r="AH51" s="552" t="s">
        <v>673</v>
      </c>
      <c r="AI51" s="557">
        <v>4.13</v>
      </c>
      <c r="AJ51" s="555">
        <f t="shared" si="29"/>
        <v>343616</v>
      </c>
      <c r="AK51" s="555">
        <f t="shared" si="30"/>
        <v>41233.92</v>
      </c>
      <c r="AL51" s="555">
        <f>AJ51*5%</f>
        <v>17180.8</v>
      </c>
      <c r="AM51" s="555">
        <f>AJ51+AK51+AL51</f>
        <v>402030.72</v>
      </c>
    </row>
    <row r="52" spans="1:39" s="183" customFormat="1" ht="16.5" customHeight="1">
      <c r="A52" s="178">
        <v>6</v>
      </c>
      <c r="B52" s="57" t="s">
        <v>524</v>
      </c>
      <c r="C52" s="543" t="s">
        <v>548</v>
      </c>
      <c r="D52" s="180" t="s">
        <v>600</v>
      </c>
      <c r="E52" s="543" t="s">
        <v>525</v>
      </c>
      <c r="F52" s="180" t="s">
        <v>568</v>
      </c>
      <c r="G52" s="546">
        <v>1</v>
      </c>
      <c r="H52" s="552" t="s">
        <v>644</v>
      </c>
      <c r="I52" s="549">
        <v>2.83</v>
      </c>
      <c r="J52" s="559">
        <f>I52*83200</f>
        <v>235456</v>
      </c>
      <c r="K52" s="547">
        <f t="shared" si="31"/>
        <v>28254.719999999998</v>
      </c>
      <c r="L52" s="182"/>
      <c r="M52" s="546">
        <f>J52+K52+L52</f>
        <v>263710.72</v>
      </c>
      <c r="N52" s="546">
        <v>1</v>
      </c>
      <c r="O52" s="552" t="s">
        <v>625</v>
      </c>
      <c r="P52" s="564">
        <v>2.75</v>
      </c>
      <c r="Q52" s="559">
        <f>P52*83200</f>
        <v>228800</v>
      </c>
      <c r="R52" s="547">
        <f t="shared" si="32"/>
        <v>27456</v>
      </c>
      <c r="S52" s="182"/>
      <c r="T52" s="546">
        <f t="shared" si="33"/>
        <v>256256</v>
      </c>
      <c r="U52" s="180">
        <f t="shared" si="22"/>
        <v>0</v>
      </c>
      <c r="V52" s="180">
        <f t="shared" si="23"/>
        <v>6656</v>
      </c>
      <c r="W52" s="180">
        <f t="shared" si="24"/>
        <v>798.7199999999975</v>
      </c>
      <c r="X52" s="180">
        <f t="shared" si="25"/>
        <v>0</v>
      </c>
      <c r="Y52" s="180">
        <f t="shared" si="26"/>
        <v>7454.7199999999975</v>
      </c>
      <c r="Z52" s="546">
        <v>1</v>
      </c>
      <c r="AA52" s="552" t="s">
        <v>660</v>
      </c>
      <c r="AB52" s="557">
        <v>2.92</v>
      </c>
      <c r="AC52" s="173">
        <f t="shared" si="27"/>
        <v>242944</v>
      </c>
      <c r="AD52" s="547">
        <f t="shared" si="28"/>
        <v>29153.28</v>
      </c>
      <c r="AE52" s="75"/>
      <c r="AF52" s="555">
        <f>AC52+AD52+AE52</f>
        <v>272097.28</v>
      </c>
      <c r="AG52" s="546">
        <v>1</v>
      </c>
      <c r="AH52" s="552" t="s">
        <v>674</v>
      </c>
      <c r="AI52" s="557">
        <v>3.02</v>
      </c>
      <c r="AJ52" s="555">
        <f t="shared" si="29"/>
        <v>251264</v>
      </c>
      <c r="AK52" s="555">
        <f t="shared" si="30"/>
        <v>30151.68</v>
      </c>
      <c r="AL52" s="555"/>
      <c r="AM52" s="555">
        <f>AJ52+AK52+AL52</f>
        <v>281415.68</v>
      </c>
    </row>
    <row r="53" spans="1:39" s="183" customFormat="1" ht="25.5" customHeight="1">
      <c r="A53" s="178"/>
      <c r="B53" s="749" t="s">
        <v>526</v>
      </c>
      <c r="C53" s="750"/>
      <c r="D53" s="182"/>
      <c r="E53" s="182"/>
      <c r="F53" s="182"/>
      <c r="G53" s="182"/>
      <c r="H53" s="552"/>
      <c r="I53" s="549"/>
      <c r="J53" s="182"/>
      <c r="K53" s="182"/>
      <c r="L53" s="182"/>
      <c r="M53" s="182"/>
      <c r="N53" s="182"/>
      <c r="O53" s="552"/>
      <c r="P53" s="564"/>
      <c r="Q53" s="560"/>
      <c r="R53" s="182"/>
      <c r="S53" s="182"/>
      <c r="T53" s="546"/>
      <c r="U53" s="180"/>
      <c r="V53" s="180"/>
      <c r="W53" s="180"/>
      <c r="X53" s="180"/>
      <c r="Y53" s="180"/>
      <c r="Z53" s="182"/>
      <c r="AA53" s="552"/>
      <c r="AB53" s="557"/>
      <c r="AC53" s="182"/>
      <c r="AD53" s="182"/>
      <c r="AE53" s="182"/>
      <c r="AF53" s="182"/>
      <c r="AG53" s="182"/>
      <c r="AH53" s="552"/>
      <c r="AI53" s="557"/>
      <c r="AJ53" s="182"/>
      <c r="AK53" s="182"/>
      <c r="AL53" s="182"/>
      <c r="AM53" s="182"/>
    </row>
    <row r="54" spans="1:39" s="183" customFormat="1" ht="27">
      <c r="A54" s="178">
        <v>7</v>
      </c>
      <c r="B54" s="57" t="s">
        <v>527</v>
      </c>
      <c r="C54" s="543" t="s">
        <v>547</v>
      </c>
      <c r="D54" s="180" t="s">
        <v>601</v>
      </c>
      <c r="E54" s="25" t="s">
        <v>515</v>
      </c>
      <c r="F54" s="180" t="s">
        <v>569</v>
      </c>
      <c r="G54" s="546">
        <v>1</v>
      </c>
      <c r="H54" s="552" t="s">
        <v>644</v>
      </c>
      <c r="I54" s="549">
        <v>4.14</v>
      </c>
      <c r="J54" s="559">
        <f>I54*83200</f>
        <v>344448</v>
      </c>
      <c r="K54" s="547">
        <f t="shared" si="31"/>
        <v>41333.76</v>
      </c>
      <c r="L54" s="182"/>
      <c r="M54" s="546">
        <f>J54+K54+L54</f>
        <v>385781.76</v>
      </c>
      <c r="N54" s="546">
        <v>1</v>
      </c>
      <c r="O54" s="552" t="s">
        <v>625</v>
      </c>
      <c r="P54" s="564">
        <v>4.01</v>
      </c>
      <c r="Q54" s="559">
        <f>P54*83200</f>
        <v>333632</v>
      </c>
      <c r="R54" s="547">
        <f t="shared" si="32"/>
        <v>40035.84</v>
      </c>
      <c r="S54" s="182"/>
      <c r="T54" s="546">
        <f t="shared" si="33"/>
        <v>373667.83999999997</v>
      </c>
      <c r="U54" s="180">
        <f t="shared" si="22"/>
        <v>0</v>
      </c>
      <c r="V54" s="180">
        <f t="shared" si="23"/>
        <v>10816</v>
      </c>
      <c r="W54" s="180">
        <f t="shared" si="24"/>
        <v>1297.9200000000055</v>
      </c>
      <c r="X54" s="180">
        <f t="shared" si="25"/>
        <v>0</v>
      </c>
      <c r="Y54" s="180">
        <f t="shared" si="26"/>
        <v>12113.920000000006</v>
      </c>
      <c r="Z54" s="546">
        <v>1</v>
      </c>
      <c r="AA54" s="552" t="s">
        <v>660</v>
      </c>
      <c r="AB54" s="557">
        <v>4.27</v>
      </c>
      <c r="AC54" s="173">
        <f t="shared" si="27"/>
        <v>355263.99999999994</v>
      </c>
      <c r="AD54" s="547">
        <f t="shared" si="28"/>
        <v>42631.67999999999</v>
      </c>
      <c r="AE54" s="75"/>
      <c r="AF54" s="555">
        <f>AC54+AD54+AE54</f>
        <v>397895.67999999993</v>
      </c>
      <c r="AG54" s="546">
        <v>1</v>
      </c>
      <c r="AH54" s="552" t="s">
        <v>674</v>
      </c>
      <c r="AI54" s="557">
        <v>4.41</v>
      </c>
      <c r="AJ54" s="173">
        <f t="shared" si="29"/>
        <v>366912</v>
      </c>
      <c r="AK54" s="547">
        <f t="shared" si="30"/>
        <v>44029.439999999995</v>
      </c>
      <c r="AL54" s="75"/>
      <c r="AM54" s="555">
        <f>AJ54+AK54+AL54</f>
        <v>410941.44</v>
      </c>
    </row>
    <row r="55" spans="1:39" s="183" customFormat="1" ht="27">
      <c r="A55" s="178">
        <v>8</v>
      </c>
      <c r="B55" s="542" t="s">
        <v>505</v>
      </c>
      <c r="C55" s="543"/>
      <c r="D55" s="180"/>
      <c r="E55" s="543" t="s">
        <v>516</v>
      </c>
      <c r="F55" s="180" t="s">
        <v>567</v>
      </c>
      <c r="G55" s="546">
        <v>1</v>
      </c>
      <c r="H55" s="553"/>
      <c r="I55" s="558">
        <v>3.76</v>
      </c>
      <c r="J55" s="559">
        <f>I55*83200</f>
        <v>312832</v>
      </c>
      <c r="K55" s="547">
        <f>J55*12%</f>
        <v>37539.84</v>
      </c>
      <c r="L55" s="182"/>
      <c r="M55" s="546">
        <f>J55+K55+L55</f>
        <v>350371.83999999997</v>
      </c>
      <c r="N55" s="546">
        <v>1</v>
      </c>
      <c r="O55" s="552"/>
      <c r="P55" s="558">
        <v>3.76</v>
      </c>
      <c r="Q55" s="559">
        <f>P55*83200</f>
        <v>312832</v>
      </c>
      <c r="R55" s="547">
        <f t="shared" si="32"/>
        <v>37539.84</v>
      </c>
      <c r="S55" s="182"/>
      <c r="T55" s="546">
        <f t="shared" si="33"/>
        <v>350371.83999999997</v>
      </c>
      <c r="U55" s="180">
        <f t="shared" si="22"/>
        <v>0</v>
      </c>
      <c r="V55" s="180">
        <f t="shared" si="23"/>
        <v>0</v>
      </c>
      <c r="W55" s="180">
        <f t="shared" si="24"/>
        <v>0</v>
      </c>
      <c r="X55" s="180">
        <f t="shared" si="25"/>
        <v>0</v>
      </c>
      <c r="Y55" s="180">
        <f t="shared" si="26"/>
        <v>0</v>
      </c>
      <c r="Z55" s="546">
        <v>1</v>
      </c>
      <c r="AA55" s="552"/>
      <c r="AB55" s="557">
        <v>3.88</v>
      </c>
      <c r="AC55" s="555">
        <f t="shared" si="27"/>
        <v>322816</v>
      </c>
      <c r="AD55" s="555">
        <f t="shared" si="28"/>
        <v>38737.92</v>
      </c>
      <c r="AE55" s="555"/>
      <c r="AF55" s="555">
        <f>AC55+AD55+AE55</f>
        <v>361553.92</v>
      </c>
      <c r="AG55" s="546">
        <v>1</v>
      </c>
      <c r="AH55" s="552"/>
      <c r="AI55" s="549">
        <v>3.88</v>
      </c>
      <c r="AJ55" s="173">
        <f t="shared" si="29"/>
        <v>322816</v>
      </c>
      <c r="AK55" s="547">
        <f t="shared" si="30"/>
        <v>38737.92</v>
      </c>
      <c r="AL55" s="75"/>
      <c r="AM55" s="555">
        <f>AJ55+AK55+AL55</f>
        <v>361553.92</v>
      </c>
    </row>
    <row r="56" spans="1:39" s="183" customFormat="1" ht="27">
      <c r="A56" s="178">
        <v>9</v>
      </c>
      <c r="B56" s="57" t="s">
        <v>528</v>
      </c>
      <c r="C56" s="543" t="s">
        <v>547</v>
      </c>
      <c r="D56" s="180" t="s">
        <v>602</v>
      </c>
      <c r="E56" s="543" t="s">
        <v>516</v>
      </c>
      <c r="F56" s="180" t="s">
        <v>570</v>
      </c>
      <c r="G56" s="555">
        <v>1</v>
      </c>
      <c r="H56" s="552" t="s">
        <v>645</v>
      </c>
      <c r="I56" s="549">
        <v>4.13</v>
      </c>
      <c r="J56" s="180">
        <f>I56*83200</f>
        <v>343616</v>
      </c>
      <c r="K56" s="180">
        <f>J56*12%</f>
        <v>41233.92</v>
      </c>
      <c r="L56" s="555">
        <f>J56*5%</f>
        <v>17180.8</v>
      </c>
      <c r="M56" s="182">
        <f>J56+K56+L56</f>
        <v>402030.72</v>
      </c>
      <c r="N56" s="546">
        <v>1</v>
      </c>
      <c r="O56" s="552" t="s">
        <v>626</v>
      </c>
      <c r="P56" s="564">
        <v>4.13</v>
      </c>
      <c r="Q56" s="559">
        <f>P56*83200</f>
        <v>343616</v>
      </c>
      <c r="R56" s="547">
        <f t="shared" si="32"/>
        <v>41233.92</v>
      </c>
      <c r="S56" s="555">
        <f>Q56*5%</f>
        <v>17180.8</v>
      </c>
      <c r="T56" s="546">
        <f t="shared" si="33"/>
        <v>402030.72</v>
      </c>
      <c r="U56" s="180">
        <f t="shared" si="22"/>
        <v>0</v>
      </c>
      <c r="V56" s="180">
        <f t="shared" si="23"/>
        <v>0</v>
      </c>
      <c r="W56" s="180">
        <f t="shared" si="24"/>
        <v>0</v>
      </c>
      <c r="X56" s="180">
        <f t="shared" si="25"/>
        <v>0</v>
      </c>
      <c r="Y56" s="180">
        <f t="shared" si="26"/>
        <v>0</v>
      </c>
      <c r="Z56" s="546">
        <v>1</v>
      </c>
      <c r="AA56" s="552" t="s">
        <v>661</v>
      </c>
      <c r="AB56" s="557">
        <v>4.13</v>
      </c>
      <c r="AC56" s="555">
        <f t="shared" si="27"/>
        <v>343616</v>
      </c>
      <c r="AD56" s="555">
        <f t="shared" si="28"/>
        <v>41233.92</v>
      </c>
      <c r="AE56" s="547">
        <f>AC56*5%</f>
        <v>17180.8</v>
      </c>
      <c r="AF56" s="555">
        <f>AC56+AD56+AE56</f>
        <v>402030.72</v>
      </c>
      <c r="AG56" s="546">
        <v>1</v>
      </c>
      <c r="AH56" s="552" t="s">
        <v>675</v>
      </c>
      <c r="AI56" s="557">
        <v>4.27</v>
      </c>
      <c r="AJ56" s="555">
        <f t="shared" si="29"/>
        <v>355263.99999999994</v>
      </c>
      <c r="AK56" s="555">
        <f t="shared" si="30"/>
        <v>42631.67999999999</v>
      </c>
      <c r="AL56" s="555">
        <f>AJ56*5%</f>
        <v>17763.199999999997</v>
      </c>
      <c r="AM56" s="555">
        <f>AJ56+AK56+AL56</f>
        <v>415658.87999999995</v>
      </c>
    </row>
    <row r="57" spans="1:39" s="183" customFormat="1" ht="14.25">
      <c r="A57" s="178"/>
      <c r="B57" s="751" t="s">
        <v>135</v>
      </c>
      <c r="C57" s="752"/>
      <c r="D57" s="182" t="s">
        <v>1</v>
      </c>
      <c r="E57" s="182" t="s">
        <v>1</v>
      </c>
      <c r="F57" s="182" t="s">
        <v>1</v>
      </c>
      <c r="G57" s="182">
        <f>SUM(G46:G56)</f>
        <v>9</v>
      </c>
      <c r="H57" s="553"/>
      <c r="I57" s="182">
        <f aca="true" t="shared" si="34" ref="I57:N57">SUM(I46:I56)</f>
        <v>35.01</v>
      </c>
      <c r="J57" s="182">
        <f t="shared" si="34"/>
        <v>2912832</v>
      </c>
      <c r="K57" s="182">
        <f t="shared" si="34"/>
        <v>349539.84</v>
      </c>
      <c r="L57" s="182">
        <f t="shared" si="34"/>
        <v>33862.4</v>
      </c>
      <c r="M57" s="182">
        <f t="shared" si="34"/>
        <v>3296234.2399999993</v>
      </c>
      <c r="N57" s="182">
        <f t="shared" si="34"/>
        <v>9</v>
      </c>
      <c r="O57" s="182" t="s">
        <v>1</v>
      </c>
      <c r="P57" s="564" t="s">
        <v>1</v>
      </c>
      <c r="Q57" s="182">
        <f aca="true" t="shared" si="35" ref="Q57:Z57">SUM(Q46:Q56)</f>
        <v>2864576</v>
      </c>
      <c r="R57" s="182">
        <f t="shared" si="35"/>
        <v>343749.11999999994</v>
      </c>
      <c r="S57" s="182">
        <f t="shared" si="35"/>
        <v>33862.4</v>
      </c>
      <c r="T57" s="546">
        <f t="shared" si="35"/>
        <v>3242187.5199999996</v>
      </c>
      <c r="U57" s="182">
        <f t="shared" si="35"/>
        <v>0</v>
      </c>
      <c r="V57" s="182">
        <f t="shared" si="35"/>
        <v>48256</v>
      </c>
      <c r="W57" s="182">
        <f t="shared" si="35"/>
        <v>5790.720000000005</v>
      </c>
      <c r="X57" s="182">
        <f t="shared" si="35"/>
        <v>0</v>
      </c>
      <c r="Y57" s="182">
        <f t="shared" si="35"/>
        <v>54046.72000000001</v>
      </c>
      <c r="Z57" s="182">
        <f t="shared" si="35"/>
        <v>9</v>
      </c>
      <c r="AA57" s="552" t="s">
        <v>1</v>
      </c>
      <c r="AB57" s="557" t="s">
        <v>1</v>
      </c>
      <c r="AC57" s="546">
        <f>SUM(AC46:AC56)</f>
        <v>2984384</v>
      </c>
      <c r="AD57" s="546">
        <f>SUM(AD46:AD56)</f>
        <v>358126.07999999996</v>
      </c>
      <c r="AE57" s="546">
        <f>SUM(AE46:AE56)</f>
        <v>33862.4</v>
      </c>
      <c r="AF57" s="546">
        <f>SUM(AF46:AF56)</f>
        <v>3376372.4799999995</v>
      </c>
      <c r="AG57" s="182">
        <f>SUM(AG46:AG56)</f>
        <v>9</v>
      </c>
      <c r="AH57" s="552" t="s">
        <v>1</v>
      </c>
      <c r="AI57" s="546" t="s">
        <v>1</v>
      </c>
      <c r="AJ57" s="546">
        <f>SUM(AJ46:AJ56)</f>
        <v>3058432</v>
      </c>
      <c r="AK57" s="546">
        <f>SUM(AK46:AK56)</f>
        <v>367011.83999999997</v>
      </c>
      <c r="AL57" s="546">
        <f>SUM(AL46:AL56)</f>
        <v>34944</v>
      </c>
      <c r="AM57" s="546">
        <f>SUM(AM46:AM56)</f>
        <v>3460387.84</v>
      </c>
    </row>
    <row r="58" spans="1:39" s="183" customFormat="1" ht="14.25">
      <c r="A58" s="178"/>
      <c r="B58" s="359"/>
      <c r="C58" s="359"/>
      <c r="D58" s="182"/>
      <c r="E58" s="182"/>
      <c r="F58" s="182"/>
      <c r="G58" s="182"/>
      <c r="H58" s="553"/>
      <c r="I58" s="549"/>
      <c r="J58" s="182"/>
      <c r="K58" s="182"/>
      <c r="L58" s="182"/>
      <c r="M58" s="182"/>
      <c r="N58" s="182"/>
      <c r="O58" s="552"/>
      <c r="P58" s="564"/>
      <c r="Q58" s="560"/>
      <c r="R58" s="182"/>
      <c r="S58" s="182"/>
      <c r="T58" s="182"/>
      <c r="U58" s="182"/>
      <c r="V58" s="182"/>
      <c r="W58" s="182"/>
      <c r="X58" s="182"/>
      <c r="Y58" s="182"/>
      <c r="Z58" s="182"/>
      <c r="AA58" s="552"/>
      <c r="AB58" s="557"/>
      <c r="AC58" s="182"/>
      <c r="AD58" s="182"/>
      <c r="AE58" s="182"/>
      <c r="AF58" s="182"/>
      <c r="AG58" s="182"/>
      <c r="AH58" s="552"/>
      <c r="AI58" s="182"/>
      <c r="AJ58" s="182"/>
      <c r="AK58" s="182"/>
      <c r="AL58" s="182"/>
      <c r="AM58" s="182"/>
    </row>
    <row r="59" spans="1:39" s="183" customFormat="1" ht="14.25">
      <c r="A59" s="178"/>
      <c r="B59" s="751" t="s">
        <v>529</v>
      </c>
      <c r="C59" s="752"/>
      <c r="D59" s="182"/>
      <c r="E59" s="182"/>
      <c r="F59" s="182"/>
      <c r="G59" s="182"/>
      <c r="H59" s="553"/>
      <c r="I59" s="549"/>
      <c r="J59" s="182"/>
      <c r="K59" s="182"/>
      <c r="L59" s="182"/>
      <c r="M59" s="182"/>
      <c r="N59" s="182"/>
      <c r="O59" s="552"/>
      <c r="P59" s="564"/>
      <c r="Q59" s="560"/>
      <c r="R59" s="182"/>
      <c r="S59" s="182"/>
      <c r="T59" s="182"/>
      <c r="U59" s="182"/>
      <c r="V59" s="182"/>
      <c r="W59" s="182"/>
      <c r="X59" s="182"/>
      <c r="Y59" s="182"/>
      <c r="Z59" s="182"/>
      <c r="AA59" s="552"/>
      <c r="AB59" s="557"/>
      <c r="AC59" s="182"/>
      <c r="AD59" s="182"/>
      <c r="AE59" s="182"/>
      <c r="AF59" s="182"/>
      <c r="AG59" s="182"/>
      <c r="AH59" s="552"/>
      <c r="AI59" s="182"/>
      <c r="AJ59" s="182"/>
      <c r="AK59" s="182"/>
      <c r="AL59" s="182"/>
      <c r="AM59" s="182"/>
    </row>
    <row r="60" spans="1:39" s="183" customFormat="1" ht="27">
      <c r="A60" s="178">
        <v>10</v>
      </c>
      <c r="B60" s="57" t="s">
        <v>530</v>
      </c>
      <c r="C60" s="539" t="s">
        <v>547</v>
      </c>
      <c r="D60" s="180" t="s">
        <v>603</v>
      </c>
      <c r="E60" s="25" t="s">
        <v>515</v>
      </c>
      <c r="F60" s="180" t="s">
        <v>571</v>
      </c>
      <c r="G60" s="546">
        <v>1</v>
      </c>
      <c r="H60" s="552" t="s">
        <v>635</v>
      </c>
      <c r="I60" s="549">
        <v>4.41</v>
      </c>
      <c r="J60" s="555">
        <f>I60*83200</f>
        <v>366912</v>
      </c>
      <c r="K60" s="555">
        <f>J60*12%</f>
        <v>44029.439999999995</v>
      </c>
      <c r="L60" s="555"/>
      <c r="M60" s="546">
        <f>J60+K60+L60</f>
        <v>410941.44</v>
      </c>
      <c r="N60" s="546">
        <v>1</v>
      </c>
      <c r="O60" s="552" t="s">
        <v>627</v>
      </c>
      <c r="P60" s="564">
        <v>4.41</v>
      </c>
      <c r="Q60" s="559">
        <f>P60*83200</f>
        <v>366912</v>
      </c>
      <c r="R60" s="547">
        <f>Q60*12%</f>
        <v>44029.439999999995</v>
      </c>
      <c r="S60" s="182"/>
      <c r="T60" s="546">
        <f>Q60+R60+S60</f>
        <v>410941.44</v>
      </c>
      <c r="U60" s="180">
        <f>+G60-N60</f>
        <v>0</v>
      </c>
      <c r="V60" s="180">
        <f aca="true" t="shared" si="36" ref="V60:X61">J60-Q60</f>
        <v>0</v>
      </c>
      <c r="W60" s="180">
        <f t="shared" si="36"/>
        <v>0</v>
      </c>
      <c r="X60" s="180">
        <f t="shared" si="36"/>
        <v>0</v>
      </c>
      <c r="Y60" s="180">
        <f>V60+W60+X60</f>
        <v>0</v>
      </c>
      <c r="Z60" s="546">
        <v>1</v>
      </c>
      <c r="AA60" s="552" t="s">
        <v>653</v>
      </c>
      <c r="AB60" s="557">
        <v>4.55</v>
      </c>
      <c r="AC60" s="555">
        <f>AB60*83200</f>
        <v>378560</v>
      </c>
      <c r="AD60" s="555">
        <f>AC60*12%</f>
        <v>45427.2</v>
      </c>
      <c r="AE60" s="180"/>
      <c r="AF60" s="555">
        <f>AC60+AD60+AE60</f>
        <v>423987.2</v>
      </c>
      <c r="AG60" s="546">
        <v>1</v>
      </c>
      <c r="AH60" s="552" t="s">
        <v>652</v>
      </c>
      <c r="AI60" s="557">
        <v>4.55</v>
      </c>
      <c r="AJ60" s="173">
        <f>AI60*83200</f>
        <v>378560</v>
      </c>
      <c r="AK60" s="547">
        <f>AJ60*12%</f>
        <v>45427.2</v>
      </c>
      <c r="AL60" s="75"/>
      <c r="AM60" s="555">
        <f>AJ60+AK60+AL60</f>
        <v>423987.2</v>
      </c>
    </row>
    <row r="61" spans="1:39" s="183" customFormat="1" ht="27">
      <c r="A61" s="178">
        <v>11</v>
      </c>
      <c r="B61" s="57" t="s">
        <v>572</v>
      </c>
      <c r="C61" s="543" t="s">
        <v>548</v>
      </c>
      <c r="D61" s="180" t="s">
        <v>604</v>
      </c>
      <c r="E61" s="543" t="s">
        <v>516</v>
      </c>
      <c r="F61" s="180" t="s">
        <v>573</v>
      </c>
      <c r="G61" s="546">
        <v>1</v>
      </c>
      <c r="H61" s="552" t="s">
        <v>646</v>
      </c>
      <c r="I61" s="549">
        <v>3.31</v>
      </c>
      <c r="J61" s="555">
        <f>I61*83200</f>
        <v>275392</v>
      </c>
      <c r="K61" s="555">
        <f>J61*12%</f>
        <v>33047.04</v>
      </c>
      <c r="L61" s="555"/>
      <c r="M61" s="546">
        <f>J61+K61+L61</f>
        <v>308439.04</v>
      </c>
      <c r="N61" s="546">
        <v>1</v>
      </c>
      <c r="O61" s="552" t="s">
        <v>628</v>
      </c>
      <c r="P61" s="564">
        <v>3.21</v>
      </c>
      <c r="Q61" s="559">
        <f>P61*83200</f>
        <v>267072</v>
      </c>
      <c r="R61" s="547">
        <f>Q61*12%</f>
        <v>32048.64</v>
      </c>
      <c r="S61" s="182"/>
      <c r="T61" s="546">
        <f>Q61+R61+S61</f>
        <v>299120.64</v>
      </c>
      <c r="U61" s="180">
        <f>+G61-N61</f>
        <v>0</v>
      </c>
      <c r="V61" s="180">
        <f t="shared" si="36"/>
        <v>8320</v>
      </c>
      <c r="W61" s="180">
        <f t="shared" si="36"/>
        <v>998.4000000000015</v>
      </c>
      <c r="X61" s="180">
        <f t="shared" si="36"/>
        <v>0</v>
      </c>
      <c r="Y61" s="180">
        <f>V61+W61+X61</f>
        <v>9318.400000000001</v>
      </c>
      <c r="Z61" s="546">
        <v>1</v>
      </c>
      <c r="AA61" s="552" t="s">
        <v>662</v>
      </c>
      <c r="AB61" s="557">
        <v>3.42</v>
      </c>
      <c r="AC61" s="555">
        <f>AB61*83200</f>
        <v>284544</v>
      </c>
      <c r="AD61" s="555">
        <f>AC61*12%</f>
        <v>34145.28</v>
      </c>
      <c r="AE61" s="180"/>
      <c r="AF61" s="555">
        <f>AC61+AD61+AE61</f>
        <v>318689.28</v>
      </c>
      <c r="AG61" s="546">
        <v>1</v>
      </c>
      <c r="AH61" s="552" t="s">
        <v>676</v>
      </c>
      <c r="AI61" s="557">
        <v>3.53</v>
      </c>
      <c r="AJ61" s="173">
        <f>AI61*83200</f>
        <v>293696</v>
      </c>
      <c r="AK61" s="547">
        <f>AJ61*12%</f>
        <v>35243.52</v>
      </c>
      <c r="AL61" s="75"/>
      <c r="AM61" s="555">
        <f>AJ61+AK61+AL61</f>
        <v>328939.52</v>
      </c>
    </row>
    <row r="62" spans="1:39" s="183" customFormat="1" ht="14.25">
      <c r="A62" s="178"/>
      <c r="B62" s="749" t="s">
        <v>135</v>
      </c>
      <c r="C62" s="750"/>
      <c r="D62" s="182" t="s">
        <v>1</v>
      </c>
      <c r="E62" s="182" t="s">
        <v>1</v>
      </c>
      <c r="F62" s="182" t="s">
        <v>1</v>
      </c>
      <c r="G62" s="182">
        <f>SUM(G60:G61)</f>
        <v>2</v>
      </c>
      <c r="H62" s="553"/>
      <c r="I62" s="182"/>
      <c r="J62" s="546">
        <f>SUM(J60:J61)</f>
        <v>642304</v>
      </c>
      <c r="K62" s="546">
        <f>SUM(K60:K61)</f>
        <v>77076.48</v>
      </c>
      <c r="L62" s="546">
        <f>SUM(L60:L61)</f>
        <v>0</v>
      </c>
      <c r="M62" s="546">
        <f>SUM(M60:M61)</f>
        <v>719380.48</v>
      </c>
      <c r="N62" s="182">
        <f>SUM(N60:N61)</f>
        <v>2</v>
      </c>
      <c r="O62" s="182" t="s">
        <v>1</v>
      </c>
      <c r="P62" s="564" t="s">
        <v>1</v>
      </c>
      <c r="Q62" s="182">
        <f>SUM(Q60:Q61)</f>
        <v>633984</v>
      </c>
      <c r="R62" s="182">
        <f>SUM(R60:R61)</f>
        <v>76078.07999999999</v>
      </c>
      <c r="S62" s="182">
        <f>SUM(S60:S61)</f>
        <v>0</v>
      </c>
      <c r="T62" s="546">
        <f>SUM(T60:T61)</f>
        <v>710062.0800000001</v>
      </c>
      <c r="U62" s="182">
        <f aca="true" t="shared" si="37" ref="U62:Z62">SUM(U60:U61)</f>
        <v>0</v>
      </c>
      <c r="V62" s="182">
        <f t="shared" si="37"/>
        <v>8320</v>
      </c>
      <c r="W62" s="182">
        <f t="shared" si="37"/>
        <v>998.4000000000015</v>
      </c>
      <c r="X62" s="182">
        <f t="shared" si="37"/>
        <v>0</v>
      </c>
      <c r="Y62" s="182">
        <f t="shared" si="37"/>
        <v>9318.400000000001</v>
      </c>
      <c r="Z62" s="182">
        <f t="shared" si="37"/>
        <v>2</v>
      </c>
      <c r="AA62" s="552" t="s">
        <v>1</v>
      </c>
      <c r="AB62" s="557" t="s">
        <v>1</v>
      </c>
      <c r="AC62" s="546">
        <f>SUM(AC60:AC61)</f>
        <v>663104</v>
      </c>
      <c r="AD62" s="546">
        <f>SUM(AD60:AD61)</f>
        <v>79572.48</v>
      </c>
      <c r="AE62" s="182">
        <f>SUM(AE60:AE61)</f>
        <v>0</v>
      </c>
      <c r="AF62" s="182">
        <f>SUM(AF60:AF61)</f>
        <v>742676.48</v>
      </c>
      <c r="AG62" s="182">
        <f>SUM(AG60:AG61)</f>
        <v>2</v>
      </c>
      <c r="AH62" s="552" t="s">
        <v>1</v>
      </c>
      <c r="AI62" s="546" t="s">
        <v>1</v>
      </c>
      <c r="AJ62" s="182">
        <f>SUM(AJ60:AJ61)</f>
        <v>672256</v>
      </c>
      <c r="AK62" s="182">
        <f>SUM(AK60:AK61)</f>
        <v>80670.72</v>
      </c>
      <c r="AL62" s="182">
        <f>SUM(AL60:AL61)</f>
        <v>0</v>
      </c>
      <c r="AM62" s="182">
        <f>SUM(AM60:AM61)</f>
        <v>752926.72</v>
      </c>
    </row>
    <row r="63" spans="1:39" s="183" customFormat="1" ht="14.25">
      <c r="A63" s="178"/>
      <c r="B63" s="540"/>
      <c r="C63" s="541"/>
      <c r="D63" s="182"/>
      <c r="E63" s="182"/>
      <c r="F63" s="182"/>
      <c r="G63" s="182"/>
      <c r="H63" s="553"/>
      <c r="I63" s="549"/>
      <c r="J63" s="546"/>
      <c r="K63" s="546"/>
      <c r="L63" s="546"/>
      <c r="M63" s="546"/>
      <c r="N63" s="182"/>
      <c r="O63" s="552"/>
      <c r="P63" s="564"/>
      <c r="Q63" s="560"/>
      <c r="R63" s="182"/>
      <c r="S63" s="182"/>
      <c r="T63" s="182"/>
      <c r="U63" s="182"/>
      <c r="V63" s="182"/>
      <c r="W63" s="182"/>
      <c r="X63" s="182"/>
      <c r="Y63" s="182"/>
      <c r="Z63" s="182"/>
      <c r="AA63" s="552"/>
      <c r="AB63" s="557"/>
      <c r="AC63" s="182"/>
      <c r="AD63" s="182"/>
      <c r="AE63" s="182"/>
      <c r="AF63" s="182"/>
      <c r="AG63" s="182"/>
      <c r="AH63" s="552"/>
      <c r="AI63" s="182"/>
      <c r="AJ63" s="182"/>
      <c r="AK63" s="182"/>
      <c r="AL63" s="182"/>
      <c r="AM63" s="182"/>
    </row>
    <row r="64" spans="1:39" s="183" customFormat="1" ht="14.25">
      <c r="A64" s="178"/>
      <c r="B64" s="749" t="s">
        <v>492</v>
      </c>
      <c r="C64" s="750"/>
      <c r="D64" s="182"/>
      <c r="E64" s="182"/>
      <c r="F64" s="182"/>
      <c r="G64" s="182"/>
      <c r="H64" s="553"/>
      <c r="I64" s="549"/>
      <c r="J64" s="546"/>
      <c r="K64" s="546"/>
      <c r="L64" s="546"/>
      <c r="M64" s="546"/>
      <c r="N64" s="182"/>
      <c r="O64" s="552"/>
      <c r="P64" s="564"/>
      <c r="Q64" s="560"/>
      <c r="R64" s="182"/>
      <c r="S64" s="182"/>
      <c r="T64" s="182"/>
      <c r="U64" s="182"/>
      <c r="V64" s="182"/>
      <c r="W64" s="182"/>
      <c r="X64" s="182"/>
      <c r="Y64" s="182"/>
      <c r="Z64" s="182"/>
      <c r="AA64" s="552"/>
      <c r="AB64" s="557"/>
      <c r="AC64" s="182"/>
      <c r="AD64" s="182"/>
      <c r="AE64" s="182"/>
      <c r="AF64" s="182"/>
      <c r="AG64" s="182"/>
      <c r="AH64" s="552"/>
      <c r="AI64" s="182"/>
      <c r="AJ64" s="182"/>
      <c r="AK64" s="182"/>
      <c r="AL64" s="182"/>
      <c r="AM64" s="182"/>
    </row>
    <row r="65" spans="1:39" s="183" customFormat="1" ht="27">
      <c r="A65" s="178">
        <v>12</v>
      </c>
      <c r="B65" s="57" t="s">
        <v>574</v>
      </c>
      <c r="C65" s="539" t="s">
        <v>547</v>
      </c>
      <c r="D65" s="180" t="s">
        <v>605</v>
      </c>
      <c r="E65" s="25" t="s">
        <v>515</v>
      </c>
      <c r="F65" s="180" t="s">
        <v>578</v>
      </c>
      <c r="G65" s="182">
        <v>1</v>
      </c>
      <c r="H65" s="552" t="s">
        <v>647</v>
      </c>
      <c r="I65" s="549">
        <v>4.14</v>
      </c>
      <c r="J65" s="555">
        <f>I65*83200</f>
        <v>344448</v>
      </c>
      <c r="K65" s="555">
        <f>J65*12%</f>
        <v>41333.76</v>
      </c>
      <c r="L65" s="555"/>
      <c r="M65" s="546">
        <f>J65+K65+L65</f>
        <v>385781.76</v>
      </c>
      <c r="N65" s="182">
        <v>1</v>
      </c>
      <c r="O65" s="552" t="s">
        <v>629</v>
      </c>
      <c r="P65" s="564">
        <v>4.01</v>
      </c>
      <c r="Q65" s="559">
        <f>P65*83200</f>
        <v>333632</v>
      </c>
      <c r="R65" s="547">
        <f>Q65*12%</f>
        <v>40035.84</v>
      </c>
      <c r="S65" s="182"/>
      <c r="T65" s="546">
        <f>Q65+R65+S65</f>
        <v>373667.83999999997</v>
      </c>
      <c r="U65" s="180">
        <f>+G65-N65</f>
        <v>0</v>
      </c>
      <c r="V65" s="180">
        <f aca="true" t="shared" si="38" ref="V65:X68">J65-Q65</f>
        <v>10816</v>
      </c>
      <c r="W65" s="180">
        <f t="shared" si="38"/>
        <v>1297.9200000000055</v>
      </c>
      <c r="X65" s="180">
        <f t="shared" si="38"/>
        <v>0</v>
      </c>
      <c r="Y65" s="180">
        <f>V65+W65+X65</f>
        <v>12113.920000000006</v>
      </c>
      <c r="Z65" s="182">
        <v>1</v>
      </c>
      <c r="AA65" s="552" t="s">
        <v>663</v>
      </c>
      <c r="AB65" s="557">
        <v>4.27</v>
      </c>
      <c r="AC65" s="555">
        <f>AB65*83200</f>
        <v>355263.99999999994</v>
      </c>
      <c r="AD65" s="555">
        <f>AC65*12%</f>
        <v>42631.67999999999</v>
      </c>
      <c r="AE65" s="180"/>
      <c r="AF65" s="555">
        <f>AC65+AD65+AE65</f>
        <v>397895.67999999993</v>
      </c>
      <c r="AG65" s="182">
        <v>1</v>
      </c>
      <c r="AH65" s="552" t="s">
        <v>677</v>
      </c>
      <c r="AI65" s="557">
        <v>4.41</v>
      </c>
      <c r="AJ65" s="173">
        <f>AI65*83200</f>
        <v>366912</v>
      </c>
      <c r="AK65" s="547">
        <f>AJ65*12%</f>
        <v>44029.439999999995</v>
      </c>
      <c r="AL65" s="75"/>
      <c r="AM65" s="555">
        <f>AJ65+AK65+AL65</f>
        <v>410941.44</v>
      </c>
    </row>
    <row r="66" spans="1:39" s="183" customFormat="1" ht="27">
      <c r="A66" s="178">
        <v>13</v>
      </c>
      <c r="B66" s="80" t="s">
        <v>575</v>
      </c>
      <c r="C66" s="539" t="s">
        <v>547</v>
      </c>
      <c r="D66" s="180" t="s">
        <v>606</v>
      </c>
      <c r="E66" s="543" t="s">
        <v>516</v>
      </c>
      <c r="F66" s="180" t="s">
        <v>579</v>
      </c>
      <c r="G66" s="182">
        <v>1</v>
      </c>
      <c r="H66" s="553" t="s">
        <v>625</v>
      </c>
      <c r="I66" s="549">
        <v>3.31</v>
      </c>
      <c r="J66" s="555">
        <f>I66*83200</f>
        <v>275392</v>
      </c>
      <c r="K66" s="555">
        <f>J66*12%</f>
        <v>33047.04</v>
      </c>
      <c r="L66" s="555"/>
      <c r="M66" s="546">
        <f>J66+K66+L66</f>
        <v>308439.04</v>
      </c>
      <c r="N66" s="182">
        <v>1</v>
      </c>
      <c r="O66" s="552" t="s">
        <v>630</v>
      </c>
      <c r="P66" s="564">
        <v>3.21</v>
      </c>
      <c r="Q66" s="559">
        <f>P66*83200</f>
        <v>267072</v>
      </c>
      <c r="R66" s="547">
        <f>Q66*12%</f>
        <v>32048.64</v>
      </c>
      <c r="S66" s="182"/>
      <c r="T66" s="546">
        <f>Q66+R66+S66</f>
        <v>299120.64</v>
      </c>
      <c r="U66" s="180">
        <f>+G66-N66</f>
        <v>0</v>
      </c>
      <c r="V66" s="180">
        <f t="shared" si="38"/>
        <v>8320</v>
      </c>
      <c r="W66" s="180">
        <f t="shared" si="38"/>
        <v>998.4000000000015</v>
      </c>
      <c r="X66" s="180">
        <f t="shared" si="38"/>
        <v>0</v>
      </c>
      <c r="Y66" s="180">
        <f>V66+W66+X66</f>
        <v>9318.400000000001</v>
      </c>
      <c r="Z66" s="182">
        <v>1</v>
      </c>
      <c r="AA66" s="552" t="s">
        <v>644</v>
      </c>
      <c r="AB66" s="557">
        <v>3.42</v>
      </c>
      <c r="AC66" s="555">
        <f>AB66*83200</f>
        <v>284544</v>
      </c>
      <c r="AD66" s="555">
        <f>AC66*12%</f>
        <v>34145.28</v>
      </c>
      <c r="AE66" s="180"/>
      <c r="AF66" s="555">
        <f>AC66+AD66+AE66</f>
        <v>318689.28</v>
      </c>
      <c r="AG66" s="182">
        <v>1</v>
      </c>
      <c r="AH66" s="552" t="s">
        <v>660</v>
      </c>
      <c r="AI66" s="557">
        <v>3.53</v>
      </c>
      <c r="AJ66" s="173">
        <f>AI66*83200</f>
        <v>293696</v>
      </c>
      <c r="AK66" s="547">
        <f>AJ66*12%</f>
        <v>35243.52</v>
      </c>
      <c r="AL66" s="75"/>
      <c r="AM66" s="555">
        <f>AJ66+AK66+AL66</f>
        <v>328939.52</v>
      </c>
    </row>
    <row r="67" spans="1:39" s="183" customFormat="1" ht="27">
      <c r="A67" s="178">
        <v>14</v>
      </c>
      <c r="B67" s="542" t="s">
        <v>505</v>
      </c>
      <c r="C67" s="539"/>
      <c r="D67" s="180"/>
      <c r="E67" s="543" t="s">
        <v>516</v>
      </c>
      <c r="F67" s="180" t="s">
        <v>580</v>
      </c>
      <c r="G67" s="182">
        <v>1</v>
      </c>
      <c r="H67" s="553"/>
      <c r="I67" s="558">
        <v>3.76</v>
      </c>
      <c r="J67" s="559">
        <f>I67*83200</f>
        <v>312832</v>
      </c>
      <c r="K67" s="547">
        <f>J67*12%</f>
        <v>37539.84</v>
      </c>
      <c r="L67" s="182"/>
      <c r="M67" s="546">
        <f>J67+K67+L67</f>
        <v>350371.83999999997</v>
      </c>
      <c r="N67" s="182">
        <v>1</v>
      </c>
      <c r="O67" s="552"/>
      <c r="P67" s="558">
        <v>3.76</v>
      </c>
      <c r="Q67" s="559">
        <f>P67*83200</f>
        <v>312832</v>
      </c>
      <c r="R67" s="547">
        <f>Q67*12%</f>
        <v>37539.84</v>
      </c>
      <c r="S67" s="182"/>
      <c r="T67" s="546">
        <f>Q67+R67+S67</f>
        <v>350371.83999999997</v>
      </c>
      <c r="U67" s="180">
        <f>+G67-N67</f>
        <v>0</v>
      </c>
      <c r="V67" s="180">
        <f t="shared" si="38"/>
        <v>0</v>
      </c>
      <c r="W67" s="180">
        <f t="shared" si="38"/>
        <v>0</v>
      </c>
      <c r="X67" s="180">
        <f t="shared" si="38"/>
        <v>0</v>
      </c>
      <c r="Y67" s="180">
        <f>V67+W67+X67</f>
        <v>0</v>
      </c>
      <c r="Z67" s="182">
        <v>1</v>
      </c>
      <c r="AA67" s="552"/>
      <c r="AB67" s="557">
        <v>3.88</v>
      </c>
      <c r="AC67" s="555">
        <f>AB67*83200</f>
        <v>322816</v>
      </c>
      <c r="AD67" s="555">
        <f>AC67*12%</f>
        <v>38737.92</v>
      </c>
      <c r="AE67" s="180"/>
      <c r="AF67" s="555">
        <f>AC67+AD67+AE67</f>
        <v>361553.92</v>
      </c>
      <c r="AG67" s="182">
        <v>1</v>
      </c>
      <c r="AH67" s="552"/>
      <c r="AI67" s="549">
        <v>3.88</v>
      </c>
      <c r="AJ67" s="173">
        <f>AI67*83200</f>
        <v>322816</v>
      </c>
      <c r="AK67" s="547">
        <f>AJ67*12%</f>
        <v>38737.92</v>
      </c>
      <c r="AL67" s="75"/>
      <c r="AM67" s="555">
        <f>AJ67+AK67+AL67</f>
        <v>361553.92</v>
      </c>
    </row>
    <row r="68" spans="1:39" s="183" customFormat="1" ht="14.25">
      <c r="A68" s="178">
        <v>15</v>
      </c>
      <c r="B68" s="542" t="s">
        <v>576</v>
      </c>
      <c r="C68" s="543" t="s">
        <v>548</v>
      </c>
      <c r="D68" s="180" t="s">
        <v>607</v>
      </c>
      <c r="E68" s="543" t="s">
        <v>577</v>
      </c>
      <c r="F68" s="180" t="s">
        <v>581</v>
      </c>
      <c r="G68" s="182">
        <v>1</v>
      </c>
      <c r="H68" s="553" t="s">
        <v>632</v>
      </c>
      <c r="I68" s="549">
        <v>3.76</v>
      </c>
      <c r="J68" s="559">
        <f>I68*83200</f>
        <v>312832</v>
      </c>
      <c r="K68" s="547"/>
      <c r="L68" s="555">
        <f>J68*5%</f>
        <v>15641.6</v>
      </c>
      <c r="M68" s="546">
        <f>J68+K68+L68</f>
        <v>328473.6</v>
      </c>
      <c r="N68" s="182">
        <v>1</v>
      </c>
      <c r="O68" s="552" t="s">
        <v>631</v>
      </c>
      <c r="P68" s="564">
        <v>3.76</v>
      </c>
      <c r="Q68" s="559">
        <f>P68*83200</f>
        <v>312832</v>
      </c>
      <c r="R68" s="547"/>
      <c r="S68" s="555">
        <f>Q68*5%</f>
        <v>15641.6</v>
      </c>
      <c r="T68" s="546">
        <f>Q68+R68+S68</f>
        <v>328473.6</v>
      </c>
      <c r="U68" s="180">
        <f>+G68-N68</f>
        <v>0</v>
      </c>
      <c r="V68" s="180">
        <f t="shared" si="38"/>
        <v>0</v>
      </c>
      <c r="W68" s="180">
        <f t="shared" si="38"/>
        <v>0</v>
      </c>
      <c r="X68" s="180">
        <f t="shared" si="38"/>
        <v>0</v>
      </c>
      <c r="Y68" s="180">
        <f>V68+W68+X68</f>
        <v>0</v>
      </c>
      <c r="Z68" s="182">
        <v>1</v>
      </c>
      <c r="AA68" s="552" t="s">
        <v>648</v>
      </c>
      <c r="AB68" s="557">
        <v>3.88</v>
      </c>
      <c r="AC68" s="555">
        <f>AB68*83200</f>
        <v>322816</v>
      </c>
      <c r="AD68" s="555">
        <f>AC68*12%</f>
        <v>38737.92</v>
      </c>
      <c r="AE68" s="180">
        <f>AC68*5%</f>
        <v>16140.800000000001</v>
      </c>
      <c r="AF68" s="555">
        <f>AC68+AD68+AE68</f>
        <v>377694.72</v>
      </c>
      <c r="AG68" s="182">
        <v>1</v>
      </c>
      <c r="AH68" s="552" t="s">
        <v>664</v>
      </c>
      <c r="AI68" s="557">
        <v>3.88</v>
      </c>
      <c r="AJ68" s="173">
        <f>AI68*83200</f>
        <v>322816</v>
      </c>
      <c r="AK68" s="547">
        <f>AJ68*12%</f>
        <v>38737.92</v>
      </c>
      <c r="AL68" s="75">
        <f>AJ68*5%</f>
        <v>16140.800000000001</v>
      </c>
      <c r="AM68" s="555">
        <f>AJ68+AK68+AL68</f>
        <v>377694.72</v>
      </c>
    </row>
    <row r="69" spans="1:39" s="183" customFormat="1" ht="14.25">
      <c r="A69" s="178"/>
      <c r="B69" s="751" t="s">
        <v>135</v>
      </c>
      <c r="C69" s="752"/>
      <c r="D69" s="182" t="s">
        <v>1</v>
      </c>
      <c r="E69" s="182" t="s">
        <v>1</v>
      </c>
      <c r="F69" s="182" t="s">
        <v>1</v>
      </c>
      <c r="G69" s="182">
        <f>SUM(G65:G68)</f>
        <v>4</v>
      </c>
      <c r="H69" s="553"/>
      <c r="I69" s="549"/>
      <c r="J69" s="182">
        <f>SUM(J65:J68)</f>
        <v>1245504</v>
      </c>
      <c r="K69" s="182">
        <f>SUM(K65:K68)</f>
        <v>111920.64</v>
      </c>
      <c r="L69" s="182">
        <f>SUM(L65:L68)</f>
        <v>15641.6</v>
      </c>
      <c r="M69" s="182">
        <f>SUM(M65:M68)</f>
        <v>1373066.24</v>
      </c>
      <c r="N69" s="546">
        <f>SUM(N65:N68)</f>
        <v>4</v>
      </c>
      <c r="O69" s="182" t="s">
        <v>1</v>
      </c>
      <c r="P69" s="564" t="s">
        <v>1</v>
      </c>
      <c r="Q69" s="546">
        <f>SUM(Q65:Q68)</f>
        <v>1226368</v>
      </c>
      <c r="R69" s="546">
        <f>SUM(R65:R68)</f>
        <v>109624.31999999999</v>
      </c>
      <c r="S69" s="546">
        <f>SUM(S65:S68)</f>
        <v>15641.6</v>
      </c>
      <c r="T69" s="546">
        <f>SUM(T65:T68)</f>
        <v>1351633.92</v>
      </c>
      <c r="U69" s="546">
        <f aca="true" t="shared" si="39" ref="U69:Z69">SUM(U65:U68)</f>
        <v>0</v>
      </c>
      <c r="V69" s="546">
        <f t="shared" si="39"/>
        <v>19136</v>
      </c>
      <c r="W69" s="546">
        <f t="shared" si="39"/>
        <v>2296.320000000007</v>
      </c>
      <c r="X69" s="546">
        <f t="shared" si="39"/>
        <v>0</v>
      </c>
      <c r="Y69" s="546">
        <f t="shared" si="39"/>
        <v>21432.320000000007</v>
      </c>
      <c r="Z69" s="546">
        <f t="shared" si="39"/>
        <v>4</v>
      </c>
      <c r="AA69" s="552" t="s">
        <v>1</v>
      </c>
      <c r="AB69" s="557" t="s">
        <v>1</v>
      </c>
      <c r="AC69" s="546">
        <f>SUM(AC65:AC68)</f>
        <v>1285440</v>
      </c>
      <c r="AD69" s="546">
        <f>SUM(AD65:AD68)</f>
        <v>154252.8</v>
      </c>
      <c r="AE69" s="546">
        <f>SUM(AE65:AE68)</f>
        <v>16140.800000000001</v>
      </c>
      <c r="AF69" s="546">
        <f>SUM(AF65:AF68)</f>
        <v>1455833.5999999999</v>
      </c>
      <c r="AG69" s="546">
        <f>SUM(AG65:AG68)</f>
        <v>4</v>
      </c>
      <c r="AH69" s="552" t="s">
        <v>1</v>
      </c>
      <c r="AI69" s="546" t="s">
        <v>1</v>
      </c>
      <c r="AJ69" s="546">
        <f>SUM(AJ65:AJ68)</f>
        <v>1306240</v>
      </c>
      <c r="AK69" s="546">
        <f>SUM(AK65:AK68)</f>
        <v>156748.8</v>
      </c>
      <c r="AL69" s="546">
        <f>SUM(AL65:AL68)</f>
        <v>16140.800000000001</v>
      </c>
      <c r="AM69" s="546">
        <f>SUM(AM65:AM68)</f>
        <v>1479129.5999999999</v>
      </c>
    </row>
    <row r="70" spans="1:39" s="183" customFormat="1" ht="34.5" customHeight="1">
      <c r="A70" s="178"/>
      <c r="B70" s="758" t="s">
        <v>531</v>
      </c>
      <c r="C70" s="759"/>
      <c r="D70" s="182"/>
      <c r="E70" s="182"/>
      <c r="F70" s="182"/>
      <c r="G70" s="182"/>
      <c r="H70" s="553"/>
      <c r="I70" s="549"/>
      <c r="J70" s="182"/>
      <c r="K70" s="182"/>
      <c r="L70" s="182"/>
      <c r="M70" s="182"/>
      <c r="N70" s="182"/>
      <c r="O70" s="552"/>
      <c r="P70" s="564"/>
      <c r="Q70" s="560"/>
      <c r="R70" s="182"/>
      <c r="S70" s="182"/>
      <c r="T70" s="182"/>
      <c r="U70" s="182"/>
      <c r="V70" s="182"/>
      <c r="W70" s="182"/>
      <c r="X70" s="182"/>
      <c r="Y70" s="182"/>
      <c r="Z70" s="182"/>
      <c r="AA70" s="552"/>
      <c r="AB70" s="557"/>
      <c r="AC70" s="182"/>
      <c r="AD70" s="182"/>
      <c r="AE70" s="182"/>
      <c r="AF70" s="182"/>
      <c r="AG70" s="182"/>
      <c r="AH70" s="552"/>
      <c r="AI70" s="182"/>
      <c r="AJ70" s="182"/>
      <c r="AK70" s="182"/>
      <c r="AL70" s="182"/>
      <c r="AM70" s="182"/>
    </row>
    <row r="71" spans="1:39" s="183" customFormat="1" ht="14.25">
      <c r="A71" s="178">
        <v>1</v>
      </c>
      <c r="B71" s="57" t="s">
        <v>532</v>
      </c>
      <c r="C71" s="543" t="s">
        <v>548</v>
      </c>
      <c r="D71" s="180" t="s">
        <v>608</v>
      </c>
      <c r="E71" s="544" t="s">
        <v>533</v>
      </c>
      <c r="F71" s="180" t="s">
        <v>582</v>
      </c>
      <c r="G71" s="546">
        <v>1</v>
      </c>
      <c r="H71" s="553" t="s">
        <v>648</v>
      </c>
      <c r="I71" s="549">
        <v>5.01</v>
      </c>
      <c r="J71" s="559">
        <f>I71*83200</f>
        <v>416832</v>
      </c>
      <c r="L71" s="547">
        <f>J71*20%+J71*5%</f>
        <v>104208.00000000001</v>
      </c>
      <c r="M71" s="182">
        <f>J71+K71+L71</f>
        <v>521040</v>
      </c>
      <c r="N71" s="546">
        <v>1</v>
      </c>
      <c r="O71" s="552" t="s">
        <v>632</v>
      </c>
      <c r="P71" s="564">
        <v>5.01</v>
      </c>
      <c r="Q71" s="559">
        <f>P71*83200</f>
        <v>416832</v>
      </c>
      <c r="S71" s="547">
        <f>Q71*20%+Q71*5%</f>
        <v>104208.00000000001</v>
      </c>
      <c r="T71" s="182">
        <f>Q71+R71+S71</f>
        <v>521040</v>
      </c>
      <c r="U71" s="180">
        <f>+G71-N71</f>
        <v>0</v>
      </c>
      <c r="V71" s="180">
        <f aca="true" t="shared" si="40" ref="V71:X72">J71-Q71</f>
        <v>0</v>
      </c>
      <c r="W71" s="180">
        <f t="shared" si="40"/>
        <v>0</v>
      </c>
      <c r="X71" s="180">
        <f t="shared" si="40"/>
        <v>0</v>
      </c>
      <c r="Y71" s="180">
        <f>V71+W71+X71</f>
        <v>0</v>
      </c>
      <c r="Z71" s="546">
        <v>1</v>
      </c>
      <c r="AA71" s="552" t="s">
        <v>664</v>
      </c>
      <c r="AB71" s="557">
        <v>5.17</v>
      </c>
      <c r="AC71" s="555">
        <f>AB71*83200</f>
        <v>430144</v>
      </c>
      <c r="AD71" s="180"/>
      <c r="AE71" s="547">
        <f>AC71*20%+AC71*5%</f>
        <v>107536</v>
      </c>
      <c r="AF71" s="555">
        <f>AC71+AD71+AE71</f>
        <v>537680</v>
      </c>
      <c r="AG71" s="546">
        <v>1</v>
      </c>
      <c r="AH71" s="552" t="s">
        <v>678</v>
      </c>
      <c r="AI71" s="557">
        <v>5.17</v>
      </c>
      <c r="AJ71" s="555">
        <f>AI71*83200</f>
        <v>430144</v>
      </c>
      <c r="AK71" s="180"/>
      <c r="AL71" s="547">
        <f>AJ71*20%+AJ71*5%</f>
        <v>107536</v>
      </c>
      <c r="AM71" s="555">
        <f>AJ71+AK71+AL71</f>
        <v>537680</v>
      </c>
    </row>
    <row r="72" spans="1:39" s="183" customFormat="1" ht="14.25">
      <c r="A72" s="178">
        <v>2</v>
      </c>
      <c r="B72" s="57" t="s">
        <v>534</v>
      </c>
      <c r="C72" s="543" t="s">
        <v>548</v>
      </c>
      <c r="D72" s="180" t="s">
        <v>609</v>
      </c>
      <c r="E72" s="544" t="s">
        <v>537</v>
      </c>
      <c r="F72" s="180" t="s">
        <v>583</v>
      </c>
      <c r="G72" s="546">
        <v>1</v>
      </c>
      <c r="H72" s="553" t="s">
        <v>649</v>
      </c>
      <c r="I72" s="549">
        <v>2.28</v>
      </c>
      <c r="J72" s="559">
        <f>I72*83200</f>
        <v>189695.99999999997</v>
      </c>
      <c r="K72" s="182"/>
      <c r="L72" s="182"/>
      <c r="M72" s="182">
        <f>J72+K72+L72</f>
        <v>189695.99999999997</v>
      </c>
      <c r="N72" s="546">
        <v>1</v>
      </c>
      <c r="O72" s="552" t="s">
        <v>633</v>
      </c>
      <c r="P72" s="564">
        <v>2.21</v>
      </c>
      <c r="Q72" s="559">
        <f>P72*83200</f>
        <v>183872</v>
      </c>
      <c r="R72" s="182"/>
      <c r="S72" s="182"/>
      <c r="T72" s="182">
        <f>Q72+R72+S72</f>
        <v>183872</v>
      </c>
      <c r="U72" s="180">
        <f>+G72-N72</f>
        <v>0</v>
      </c>
      <c r="V72" s="180">
        <f t="shared" si="40"/>
        <v>5823.999999999971</v>
      </c>
      <c r="W72" s="180">
        <f t="shared" si="40"/>
        <v>0</v>
      </c>
      <c r="X72" s="180">
        <f t="shared" si="40"/>
        <v>0</v>
      </c>
      <c r="Y72" s="180">
        <f>V72+W72+X72</f>
        <v>5823.999999999971</v>
      </c>
      <c r="Z72" s="546">
        <v>1</v>
      </c>
      <c r="AA72" s="552" t="s">
        <v>665</v>
      </c>
      <c r="AB72" s="557">
        <v>2.28</v>
      </c>
      <c r="AC72" s="555">
        <f>AB72*83200</f>
        <v>189695.99999999997</v>
      </c>
      <c r="AD72" s="180"/>
      <c r="AE72" s="547"/>
      <c r="AF72" s="555">
        <f>AC72+AD72+AE72</f>
        <v>189695.99999999997</v>
      </c>
      <c r="AG72" s="546">
        <v>1</v>
      </c>
      <c r="AH72" s="552" t="s">
        <v>679</v>
      </c>
      <c r="AI72" s="557">
        <v>2.35</v>
      </c>
      <c r="AJ72" s="555">
        <f>AI72*83200</f>
        <v>195520</v>
      </c>
      <c r="AK72" s="180"/>
      <c r="AL72" s="547"/>
      <c r="AM72" s="555">
        <f>AJ72+AK72+AL72</f>
        <v>195520</v>
      </c>
    </row>
    <row r="73" spans="1:39" s="183" customFormat="1" ht="14.25">
      <c r="A73" s="178"/>
      <c r="B73" s="751" t="s">
        <v>135</v>
      </c>
      <c r="C73" s="752"/>
      <c r="D73" s="182" t="s">
        <v>1</v>
      </c>
      <c r="E73" s="182" t="s">
        <v>1</v>
      </c>
      <c r="F73" s="182" t="s">
        <v>1</v>
      </c>
      <c r="G73" s="546">
        <f>SUM(G71:G72)</f>
        <v>2</v>
      </c>
      <c r="H73" s="553"/>
      <c r="I73" s="549"/>
      <c r="J73" s="546">
        <f>SUM(J71:J72)</f>
        <v>606528</v>
      </c>
      <c r="K73" s="546">
        <f>SUM(K71:K72)</f>
        <v>0</v>
      </c>
      <c r="L73" s="546">
        <f>SUM(L71:L72)</f>
        <v>104208.00000000001</v>
      </c>
      <c r="M73" s="546">
        <f>SUM(M71:M72)</f>
        <v>710736</v>
      </c>
      <c r="N73" s="546">
        <f>SUM(N71:N72)</f>
        <v>2</v>
      </c>
      <c r="O73" s="182" t="s">
        <v>1</v>
      </c>
      <c r="P73" s="564" t="s">
        <v>1</v>
      </c>
      <c r="Q73" s="546">
        <f>SUM(Q71:Q72)</f>
        <v>600704</v>
      </c>
      <c r="R73" s="546">
        <f>SUM(R71:R72)</f>
        <v>0</v>
      </c>
      <c r="S73" s="546">
        <f>SUM(S71:S72)</f>
        <v>104208.00000000001</v>
      </c>
      <c r="T73" s="546">
        <f>SUM(T71:T72)</f>
        <v>704912</v>
      </c>
      <c r="U73" s="546">
        <f aca="true" t="shared" si="41" ref="U73:Z73">SUM(U71:U72)</f>
        <v>0</v>
      </c>
      <c r="V73" s="546">
        <f t="shared" si="41"/>
        <v>5823.999999999971</v>
      </c>
      <c r="W73" s="546">
        <f t="shared" si="41"/>
        <v>0</v>
      </c>
      <c r="X73" s="546">
        <f t="shared" si="41"/>
        <v>0</v>
      </c>
      <c r="Y73" s="546">
        <f t="shared" si="41"/>
        <v>5823.999999999971</v>
      </c>
      <c r="Z73" s="546">
        <f t="shared" si="41"/>
        <v>2</v>
      </c>
      <c r="AA73" s="552" t="s">
        <v>1</v>
      </c>
      <c r="AB73" s="557" t="s">
        <v>1</v>
      </c>
      <c r="AC73" s="546">
        <f>SUM(AC71:AC72)</f>
        <v>619840</v>
      </c>
      <c r="AD73" s="546">
        <f>SUM(AD71:AD72)</f>
        <v>0</v>
      </c>
      <c r="AE73" s="546">
        <f>SUM(AE71:AE72)</f>
        <v>107536</v>
      </c>
      <c r="AF73" s="546">
        <f>SUM(AF71:AF72)</f>
        <v>727376</v>
      </c>
      <c r="AG73" s="546">
        <f>SUM(AG71:AG72)</f>
        <v>2</v>
      </c>
      <c r="AH73" s="552" t="s">
        <v>1</v>
      </c>
      <c r="AI73" s="546" t="s">
        <v>1</v>
      </c>
      <c r="AJ73" s="546">
        <f>SUM(AJ71:AJ72)</f>
        <v>625664</v>
      </c>
      <c r="AK73" s="546">
        <f>SUM(AK71:AK72)</f>
        <v>0</v>
      </c>
      <c r="AL73" s="546">
        <f>SUM(AL71:AL72)</f>
        <v>107536</v>
      </c>
      <c r="AM73" s="546">
        <f>SUM(AM71:AM72)</f>
        <v>733200</v>
      </c>
    </row>
    <row r="74" spans="1:39" s="183" customFormat="1" ht="14.25">
      <c r="A74" s="178"/>
      <c r="B74" s="359"/>
      <c r="C74" s="359"/>
      <c r="D74" s="182"/>
      <c r="E74" s="182"/>
      <c r="F74" s="182"/>
      <c r="G74" s="546"/>
      <c r="H74" s="553"/>
      <c r="I74" s="549"/>
      <c r="J74" s="182"/>
      <c r="K74" s="182"/>
      <c r="L74" s="182"/>
      <c r="M74" s="182"/>
      <c r="N74" s="546"/>
      <c r="O74" s="552"/>
      <c r="P74" s="564"/>
      <c r="Q74" s="560"/>
      <c r="R74" s="182"/>
      <c r="S74" s="182"/>
      <c r="T74" s="182"/>
      <c r="U74" s="182"/>
      <c r="V74" s="182"/>
      <c r="W74" s="182"/>
      <c r="X74" s="182"/>
      <c r="Y74" s="182"/>
      <c r="Z74" s="546"/>
      <c r="AA74" s="552"/>
      <c r="AB74" s="557"/>
      <c r="AC74" s="182"/>
      <c r="AD74" s="182"/>
      <c r="AE74" s="182"/>
      <c r="AF74" s="182"/>
      <c r="AG74" s="546"/>
      <c r="AH74" s="552"/>
      <c r="AI74" s="182"/>
      <c r="AJ74" s="182"/>
      <c r="AK74" s="182"/>
      <c r="AL74" s="182"/>
      <c r="AM74" s="182"/>
    </row>
    <row r="75" spans="1:39" s="183" customFormat="1" ht="35.25" customHeight="1">
      <c r="A75" s="178"/>
      <c r="B75" s="758" t="s">
        <v>535</v>
      </c>
      <c r="C75" s="759"/>
      <c r="D75" s="182"/>
      <c r="E75" s="182"/>
      <c r="F75" s="182"/>
      <c r="G75" s="546"/>
      <c r="H75" s="553"/>
      <c r="I75" s="549"/>
      <c r="J75" s="182"/>
      <c r="K75" s="182"/>
      <c r="L75" s="182"/>
      <c r="M75" s="182"/>
      <c r="N75" s="546"/>
      <c r="O75" s="552"/>
      <c r="P75" s="564"/>
      <c r="Q75" s="560"/>
      <c r="R75" s="182"/>
      <c r="S75" s="182"/>
      <c r="T75" s="182"/>
      <c r="U75" s="182"/>
      <c r="V75" s="182"/>
      <c r="W75" s="182"/>
      <c r="X75" s="182"/>
      <c r="Y75" s="182"/>
      <c r="Z75" s="546"/>
      <c r="AA75" s="552"/>
      <c r="AB75" s="557"/>
      <c r="AC75" s="182"/>
      <c r="AD75" s="182"/>
      <c r="AE75" s="182"/>
      <c r="AF75" s="182"/>
      <c r="AG75" s="546"/>
      <c r="AH75" s="552"/>
      <c r="AI75" s="182"/>
      <c r="AJ75" s="182"/>
      <c r="AK75" s="182"/>
      <c r="AL75" s="182"/>
      <c r="AM75" s="182"/>
    </row>
    <row r="76" spans="1:39" s="183" customFormat="1" ht="14.25">
      <c r="A76" s="178">
        <v>1</v>
      </c>
      <c r="B76" s="57" t="s">
        <v>536</v>
      </c>
      <c r="C76" s="543" t="s">
        <v>548</v>
      </c>
      <c r="D76" s="180" t="s">
        <v>610</v>
      </c>
      <c r="E76" s="544" t="s">
        <v>533</v>
      </c>
      <c r="F76" s="180" t="s">
        <v>584</v>
      </c>
      <c r="G76" s="546">
        <v>1</v>
      </c>
      <c r="H76" s="553" t="s">
        <v>648</v>
      </c>
      <c r="I76" s="549">
        <v>5.01</v>
      </c>
      <c r="J76" s="559">
        <f>I76*83200</f>
        <v>416832</v>
      </c>
      <c r="K76" s="182"/>
      <c r="L76" s="555">
        <f>J76*5%</f>
        <v>20841.600000000002</v>
      </c>
      <c r="M76" s="546">
        <f>J76+K76+L76</f>
        <v>437673.6</v>
      </c>
      <c r="N76" s="546">
        <v>1</v>
      </c>
      <c r="O76" s="552" t="s">
        <v>632</v>
      </c>
      <c r="P76" s="564">
        <v>5.01</v>
      </c>
      <c r="Q76" s="559">
        <f>P76*83200</f>
        <v>416832</v>
      </c>
      <c r="R76" s="182"/>
      <c r="S76" s="555">
        <f>Q76*5%</f>
        <v>20841.600000000002</v>
      </c>
      <c r="T76" s="546">
        <f>Q76+R76+S76</f>
        <v>437673.6</v>
      </c>
      <c r="U76" s="180">
        <f>+G76-N76</f>
        <v>0</v>
      </c>
      <c r="V76" s="180">
        <f aca="true" t="shared" si="42" ref="V76:X77">J76-Q76</f>
        <v>0</v>
      </c>
      <c r="W76" s="180">
        <f t="shared" si="42"/>
        <v>0</v>
      </c>
      <c r="X76" s="180">
        <f t="shared" si="42"/>
        <v>0</v>
      </c>
      <c r="Y76" s="180">
        <f>V76+W76+X76</f>
        <v>0</v>
      </c>
      <c r="Z76" s="546">
        <v>1</v>
      </c>
      <c r="AA76" s="552" t="s">
        <v>664</v>
      </c>
      <c r="AB76" s="557">
        <v>5.17</v>
      </c>
      <c r="AC76" s="555">
        <f>AB76*83200</f>
        <v>430144</v>
      </c>
      <c r="AD76" s="180"/>
      <c r="AE76" s="547">
        <f>AC76*5%</f>
        <v>21507.2</v>
      </c>
      <c r="AF76" s="555">
        <f>AC76+AD76+AE76</f>
        <v>451651.2</v>
      </c>
      <c r="AG76" s="546">
        <v>1</v>
      </c>
      <c r="AH76" s="552" t="s">
        <v>678</v>
      </c>
      <c r="AI76" s="557">
        <v>5.17</v>
      </c>
      <c r="AJ76" s="555">
        <f>AI76*83200</f>
        <v>430144</v>
      </c>
      <c r="AK76" s="555"/>
      <c r="AL76" s="547">
        <f>AJ76*5%</f>
        <v>21507.2</v>
      </c>
      <c r="AM76" s="555">
        <f>AJ76+AK76+AL76</f>
        <v>451651.2</v>
      </c>
    </row>
    <row r="77" spans="1:39" s="183" customFormat="1" ht="14.25">
      <c r="A77" s="178">
        <v>2</v>
      </c>
      <c r="B77" s="542" t="s">
        <v>505</v>
      </c>
      <c r="C77" s="544"/>
      <c r="D77" s="180"/>
      <c r="E77" s="544" t="s">
        <v>537</v>
      </c>
      <c r="F77" s="180" t="s">
        <v>650</v>
      </c>
      <c r="G77" s="546">
        <v>1</v>
      </c>
      <c r="H77" s="553"/>
      <c r="I77" s="549">
        <v>2.66</v>
      </c>
      <c r="J77" s="559">
        <f>I77*83200</f>
        <v>221312</v>
      </c>
      <c r="K77" s="182"/>
      <c r="L77" s="182"/>
      <c r="M77" s="546">
        <f>J77+K77+L77</f>
        <v>221312</v>
      </c>
      <c r="N77" s="546">
        <v>1</v>
      </c>
      <c r="O77" s="552"/>
      <c r="P77" s="564">
        <v>2.66</v>
      </c>
      <c r="Q77" s="559">
        <f>P77*83200</f>
        <v>221312</v>
      </c>
      <c r="R77" s="182"/>
      <c r="S77" s="182"/>
      <c r="T77" s="546">
        <f>Q77+R77+S77</f>
        <v>221312</v>
      </c>
      <c r="U77" s="180">
        <f>+G77-N77</f>
        <v>0</v>
      </c>
      <c r="V77" s="180">
        <f t="shared" si="42"/>
        <v>0</v>
      </c>
      <c r="W77" s="180">
        <f t="shared" si="42"/>
        <v>0</v>
      </c>
      <c r="X77" s="180">
        <f t="shared" si="42"/>
        <v>0</v>
      </c>
      <c r="Y77" s="180">
        <f>V77+W77+X77</f>
        <v>0</v>
      </c>
      <c r="Z77" s="546">
        <v>1</v>
      </c>
      <c r="AA77" s="552"/>
      <c r="AB77" s="557">
        <v>2.75</v>
      </c>
      <c r="AC77" s="555">
        <f>AB77*83200</f>
        <v>228800</v>
      </c>
      <c r="AD77" s="180"/>
      <c r="AE77" s="547"/>
      <c r="AF77" s="555">
        <f>AC77+AD77+AE77</f>
        <v>228800</v>
      </c>
      <c r="AG77" s="546">
        <v>1</v>
      </c>
      <c r="AH77" s="552"/>
      <c r="AI77" s="557">
        <v>2.75</v>
      </c>
      <c r="AJ77" s="555">
        <f>AI77*83200</f>
        <v>228800</v>
      </c>
      <c r="AK77" s="555"/>
      <c r="AL77" s="547"/>
      <c r="AM77" s="555">
        <f>AJ77+AK77+AL77</f>
        <v>228800</v>
      </c>
    </row>
    <row r="78" spans="1:39" s="183" customFormat="1" ht="14.25">
      <c r="A78" s="178"/>
      <c r="B78" s="749" t="s">
        <v>135</v>
      </c>
      <c r="C78" s="750"/>
      <c r="D78" s="182" t="s">
        <v>1</v>
      </c>
      <c r="E78" s="182" t="s">
        <v>1</v>
      </c>
      <c r="F78" s="182" t="s">
        <v>1</v>
      </c>
      <c r="G78" s="546">
        <f>SUM(G76:G77)</f>
        <v>2</v>
      </c>
      <c r="H78" s="553"/>
      <c r="I78" s="549"/>
      <c r="J78" s="546">
        <f>SUM(J76:J77)</f>
        <v>638144</v>
      </c>
      <c r="K78" s="546">
        <f>SUM(K76:K77)</f>
        <v>0</v>
      </c>
      <c r="L78" s="546">
        <f>SUM(L76:L77)</f>
        <v>20841.600000000002</v>
      </c>
      <c r="M78" s="546">
        <f>SUM(M76:M77)</f>
        <v>658985.6</v>
      </c>
      <c r="N78" s="546">
        <f>SUM(N76:N77)</f>
        <v>2</v>
      </c>
      <c r="O78" s="182" t="s">
        <v>1</v>
      </c>
      <c r="P78" s="564" t="s">
        <v>1</v>
      </c>
      <c r="Q78" s="546">
        <f>SUM(Q76:Q77)</f>
        <v>638144</v>
      </c>
      <c r="R78" s="546">
        <f>SUM(R76:R77)</f>
        <v>0</v>
      </c>
      <c r="S78" s="546">
        <f>SUM(S76:S77)</f>
        <v>20841.600000000002</v>
      </c>
      <c r="T78" s="546">
        <f>SUM(T76:T77)</f>
        <v>658985.6</v>
      </c>
      <c r="U78" s="546">
        <f aca="true" t="shared" si="43" ref="U78:Z78">SUM(U76:U77)</f>
        <v>0</v>
      </c>
      <c r="V78" s="546">
        <f t="shared" si="43"/>
        <v>0</v>
      </c>
      <c r="W78" s="546">
        <f t="shared" si="43"/>
        <v>0</v>
      </c>
      <c r="X78" s="546">
        <f t="shared" si="43"/>
        <v>0</v>
      </c>
      <c r="Y78" s="546">
        <f t="shared" si="43"/>
        <v>0</v>
      </c>
      <c r="Z78" s="546">
        <f t="shared" si="43"/>
        <v>2</v>
      </c>
      <c r="AA78" s="552" t="s">
        <v>1</v>
      </c>
      <c r="AB78" s="557" t="s">
        <v>1</v>
      </c>
      <c r="AC78" s="546">
        <f>SUM(AC76:AC77)</f>
        <v>658944</v>
      </c>
      <c r="AD78" s="546">
        <f>SUM(AD76:AD77)</f>
        <v>0</v>
      </c>
      <c r="AE78" s="546">
        <f>SUM(AE76:AE77)</f>
        <v>21507.2</v>
      </c>
      <c r="AF78" s="546">
        <f>SUM(AF76:AF77)</f>
        <v>680451.2</v>
      </c>
      <c r="AG78" s="546">
        <f>SUM(AG76:AG77)</f>
        <v>2</v>
      </c>
      <c r="AH78" s="552" t="s">
        <v>1</v>
      </c>
      <c r="AI78" s="546" t="s">
        <v>1</v>
      </c>
      <c r="AJ78" s="546">
        <f>SUM(AJ76:AJ77)</f>
        <v>658944</v>
      </c>
      <c r="AK78" s="546">
        <f>SUM(AK76:AK77)</f>
        <v>0</v>
      </c>
      <c r="AL78" s="546">
        <f>SUM(AL76:AL77)</f>
        <v>21507.2</v>
      </c>
      <c r="AM78" s="546">
        <f>SUM(AM76:AM77)</f>
        <v>680451.2</v>
      </c>
    </row>
    <row r="79" spans="1:39" s="183" customFormat="1" ht="14.25">
      <c r="A79" s="178"/>
      <c r="B79" s="359"/>
      <c r="C79" s="359"/>
      <c r="D79" s="182"/>
      <c r="E79" s="182"/>
      <c r="F79" s="182"/>
      <c r="G79" s="546"/>
      <c r="H79" s="553"/>
      <c r="I79" s="549"/>
      <c r="J79" s="182"/>
      <c r="K79" s="182"/>
      <c r="L79" s="182"/>
      <c r="M79" s="182"/>
      <c r="N79" s="546"/>
      <c r="O79" s="552"/>
      <c r="P79" s="564"/>
      <c r="Q79" s="560"/>
      <c r="R79" s="182"/>
      <c r="S79" s="182"/>
      <c r="T79" s="182"/>
      <c r="U79" s="182"/>
      <c r="V79" s="182"/>
      <c r="W79" s="182"/>
      <c r="X79" s="182"/>
      <c r="Y79" s="182"/>
      <c r="Z79" s="546"/>
      <c r="AA79" s="552"/>
      <c r="AB79" s="557"/>
      <c r="AC79" s="546"/>
      <c r="AD79" s="182"/>
      <c r="AE79" s="182"/>
      <c r="AF79" s="182"/>
      <c r="AG79" s="546"/>
      <c r="AH79" s="552"/>
      <c r="AI79" s="182"/>
      <c r="AJ79" s="182"/>
      <c r="AK79" s="182"/>
      <c r="AL79" s="182"/>
      <c r="AM79" s="182"/>
    </row>
    <row r="80" spans="1:39" s="183" customFormat="1" ht="14.25">
      <c r="A80" s="178"/>
      <c r="B80" s="749" t="s">
        <v>494</v>
      </c>
      <c r="C80" s="750"/>
      <c r="D80" s="182"/>
      <c r="E80" s="182"/>
      <c r="F80" s="182"/>
      <c r="G80" s="546"/>
      <c r="H80" s="553"/>
      <c r="I80" s="549"/>
      <c r="J80" s="182"/>
      <c r="K80" s="182"/>
      <c r="L80" s="182"/>
      <c r="M80" s="182"/>
      <c r="N80" s="546"/>
      <c r="O80" s="552"/>
      <c r="P80" s="564"/>
      <c r="Q80" s="560"/>
      <c r="R80" s="182"/>
      <c r="S80" s="182"/>
      <c r="T80" s="182"/>
      <c r="U80" s="182"/>
      <c r="V80" s="182"/>
      <c r="W80" s="182"/>
      <c r="X80" s="182"/>
      <c r="Y80" s="182"/>
      <c r="Z80" s="546"/>
      <c r="AA80" s="552"/>
      <c r="AB80" s="557"/>
      <c r="AC80" s="546"/>
      <c r="AD80" s="182"/>
      <c r="AE80" s="182"/>
      <c r="AF80" s="182"/>
      <c r="AG80" s="546"/>
      <c r="AH80" s="552"/>
      <c r="AI80" s="182"/>
      <c r="AJ80" s="182"/>
      <c r="AK80" s="182"/>
      <c r="AL80" s="182"/>
      <c r="AM80" s="182"/>
    </row>
    <row r="81" spans="1:39" s="183" customFormat="1" ht="14.25">
      <c r="A81" s="178">
        <v>1</v>
      </c>
      <c r="B81" s="57" t="s">
        <v>538</v>
      </c>
      <c r="C81" s="543" t="s">
        <v>548</v>
      </c>
      <c r="D81" s="180" t="s">
        <v>611</v>
      </c>
      <c r="E81" s="544" t="s">
        <v>533</v>
      </c>
      <c r="F81" s="180" t="s">
        <v>585</v>
      </c>
      <c r="G81" s="546">
        <v>1</v>
      </c>
      <c r="H81" s="553" t="s">
        <v>651</v>
      </c>
      <c r="I81" s="549">
        <v>4.55</v>
      </c>
      <c r="J81" s="559">
        <f>I81*83200</f>
        <v>378560</v>
      </c>
      <c r="K81" s="182"/>
      <c r="L81" s="546"/>
      <c r="M81" s="546">
        <f>J81+K81+L81</f>
        <v>378560</v>
      </c>
      <c r="N81" s="546">
        <v>1</v>
      </c>
      <c r="O81" s="552" t="s">
        <v>634</v>
      </c>
      <c r="P81" s="564">
        <v>4.55</v>
      </c>
      <c r="Q81" s="559">
        <f>P81*83200</f>
        <v>378560</v>
      </c>
      <c r="R81" s="182"/>
      <c r="S81" s="182"/>
      <c r="T81" s="182">
        <f>Q81+R81+S81</f>
        <v>378560</v>
      </c>
      <c r="U81" s="180">
        <f>+G81-N81</f>
        <v>0</v>
      </c>
      <c r="V81" s="180">
        <f aca="true" t="shared" si="44" ref="V81:X82">J81-Q81</f>
        <v>0</v>
      </c>
      <c r="W81" s="180">
        <f t="shared" si="44"/>
        <v>0</v>
      </c>
      <c r="X81" s="180">
        <f t="shared" si="44"/>
        <v>0</v>
      </c>
      <c r="Y81" s="180">
        <f>V81+W81+X81</f>
        <v>0</v>
      </c>
      <c r="Z81" s="546">
        <v>1</v>
      </c>
      <c r="AA81" s="552" t="s">
        <v>666</v>
      </c>
      <c r="AB81" s="557">
        <v>4.7</v>
      </c>
      <c r="AC81" s="555">
        <f>AB81*83200</f>
        <v>391040</v>
      </c>
      <c r="AD81" s="180"/>
      <c r="AE81" s="547"/>
      <c r="AF81" s="555">
        <f>AC81+AD81+AE81</f>
        <v>391040</v>
      </c>
      <c r="AG81" s="546">
        <v>1</v>
      </c>
      <c r="AH81" s="552" t="s">
        <v>680</v>
      </c>
      <c r="AI81" s="557">
        <v>4.7</v>
      </c>
      <c r="AJ81" s="555">
        <f>AI81*83200</f>
        <v>391040</v>
      </c>
      <c r="AK81" s="555"/>
      <c r="AL81" s="547"/>
      <c r="AM81" s="555">
        <f>AJ81+AK81+AL81</f>
        <v>391040</v>
      </c>
    </row>
    <row r="82" spans="1:39" s="183" customFormat="1" ht="27">
      <c r="A82" s="178">
        <v>2</v>
      </c>
      <c r="B82" s="57" t="s">
        <v>539</v>
      </c>
      <c r="C82" s="543" t="s">
        <v>548</v>
      </c>
      <c r="D82" s="180" t="s">
        <v>612</v>
      </c>
      <c r="E82" s="545" t="s">
        <v>587</v>
      </c>
      <c r="F82" s="180" t="s">
        <v>586</v>
      </c>
      <c r="G82" s="546">
        <v>1</v>
      </c>
      <c r="H82" s="553" t="s">
        <v>652</v>
      </c>
      <c r="I82" s="549">
        <v>3.76</v>
      </c>
      <c r="J82" s="559">
        <f>I82*83200</f>
        <v>312832</v>
      </c>
      <c r="K82" s="182"/>
      <c r="L82" s="546"/>
      <c r="M82" s="546">
        <f>J82+K82+L82</f>
        <v>312832</v>
      </c>
      <c r="N82" s="546">
        <v>1</v>
      </c>
      <c r="O82" s="552" t="s">
        <v>653</v>
      </c>
      <c r="P82" s="564">
        <v>3.64</v>
      </c>
      <c r="Q82" s="559">
        <f>P82*83200</f>
        <v>302848</v>
      </c>
      <c r="R82" s="182"/>
      <c r="S82" s="182"/>
      <c r="T82" s="182">
        <f>Q82+R82+S82</f>
        <v>302848</v>
      </c>
      <c r="U82" s="180">
        <f>+G82-N82</f>
        <v>0</v>
      </c>
      <c r="V82" s="180">
        <f t="shared" si="44"/>
        <v>9984</v>
      </c>
      <c r="W82" s="180">
        <f t="shared" si="44"/>
        <v>0</v>
      </c>
      <c r="X82" s="180">
        <f t="shared" si="44"/>
        <v>0</v>
      </c>
      <c r="Y82" s="180">
        <f>V82+W82+X82</f>
        <v>9984</v>
      </c>
      <c r="Z82" s="546">
        <v>1</v>
      </c>
      <c r="AA82" s="552" t="s">
        <v>667</v>
      </c>
      <c r="AB82" s="557">
        <v>3.76</v>
      </c>
      <c r="AC82" s="555">
        <f>AB82*83200</f>
        <v>312832</v>
      </c>
      <c r="AD82" s="180"/>
      <c r="AE82" s="547"/>
      <c r="AF82" s="555">
        <f>AC82+AD82+AE82</f>
        <v>312832</v>
      </c>
      <c r="AG82" s="546">
        <v>1</v>
      </c>
      <c r="AH82" s="552" t="s">
        <v>681</v>
      </c>
      <c r="AI82" s="557">
        <v>3.88</v>
      </c>
      <c r="AJ82" s="555">
        <f>AI82*83200</f>
        <v>322816</v>
      </c>
      <c r="AK82" s="555"/>
      <c r="AL82" s="547"/>
      <c r="AM82" s="555">
        <f>AJ82+AK82+AL82</f>
        <v>322816</v>
      </c>
    </row>
    <row r="83" spans="1:39" s="183" customFormat="1" ht="14.25">
      <c r="A83" s="178"/>
      <c r="B83" s="751" t="s">
        <v>135</v>
      </c>
      <c r="C83" s="752"/>
      <c r="D83" s="182" t="s">
        <v>1</v>
      </c>
      <c r="E83" s="182" t="s">
        <v>1</v>
      </c>
      <c r="F83" s="182" t="s">
        <v>1</v>
      </c>
      <c r="G83" s="546">
        <f>SUM(G81:G82)</f>
        <v>2</v>
      </c>
      <c r="H83" s="553"/>
      <c r="I83" s="546"/>
      <c r="J83" s="546">
        <f>SUM(J81:J82)</f>
        <v>691392</v>
      </c>
      <c r="K83" s="546">
        <f>SUM(K81:K82)</f>
        <v>0</v>
      </c>
      <c r="L83" s="546">
        <f>SUM(L81:L82)</f>
        <v>0</v>
      </c>
      <c r="M83" s="546">
        <f>SUM(M81:M82)</f>
        <v>691392</v>
      </c>
      <c r="N83" s="546">
        <f>SUM(N81:N82)</f>
        <v>2</v>
      </c>
      <c r="O83" s="182" t="s">
        <v>1</v>
      </c>
      <c r="P83" s="564" t="s">
        <v>1</v>
      </c>
      <c r="Q83" s="546">
        <f>SUM(Q81:Q82)</f>
        <v>681408</v>
      </c>
      <c r="R83" s="546">
        <f>SUM(R81:R82)</f>
        <v>0</v>
      </c>
      <c r="S83" s="546">
        <f>SUM(S81:S82)</f>
        <v>0</v>
      </c>
      <c r="T83" s="546">
        <f>SUM(T81:T82)</f>
        <v>681408</v>
      </c>
      <c r="U83" s="546">
        <f aca="true" t="shared" si="45" ref="U83:Z83">SUM(U81:U82)</f>
        <v>0</v>
      </c>
      <c r="V83" s="546">
        <f t="shared" si="45"/>
        <v>9984</v>
      </c>
      <c r="W83" s="546">
        <f t="shared" si="45"/>
        <v>0</v>
      </c>
      <c r="X83" s="546">
        <f t="shared" si="45"/>
        <v>0</v>
      </c>
      <c r="Y83" s="546">
        <f t="shared" si="45"/>
        <v>9984</v>
      </c>
      <c r="Z83" s="546">
        <f t="shared" si="45"/>
        <v>2</v>
      </c>
      <c r="AA83" s="552" t="s">
        <v>1</v>
      </c>
      <c r="AB83" s="557" t="s">
        <v>1</v>
      </c>
      <c r="AC83" s="546">
        <f>SUM(AC81:AC82)</f>
        <v>703872</v>
      </c>
      <c r="AD83" s="546">
        <f>SUM(AD81:AD82)</f>
        <v>0</v>
      </c>
      <c r="AE83" s="546">
        <f>SUM(AE81:AE82)</f>
        <v>0</v>
      </c>
      <c r="AF83" s="546">
        <f>SUM(AF81:AF82)</f>
        <v>703872</v>
      </c>
      <c r="AG83" s="546">
        <f>SUM(AG81:AG82)</f>
        <v>2</v>
      </c>
      <c r="AH83" s="552" t="s">
        <v>1</v>
      </c>
      <c r="AI83" s="546" t="s">
        <v>1</v>
      </c>
      <c r="AJ83" s="546">
        <f>SUM(AJ81:AJ82)</f>
        <v>713856</v>
      </c>
      <c r="AK83" s="546">
        <f>SUM(AK81:AK82)</f>
        <v>0</v>
      </c>
      <c r="AL83" s="546">
        <f>SUM(AL81:AL82)</f>
        <v>0</v>
      </c>
      <c r="AM83" s="546">
        <f>SUM(AM81:AM82)</f>
        <v>713856</v>
      </c>
    </row>
    <row r="84" spans="1:39" s="183" customFormat="1" ht="24" customHeight="1">
      <c r="A84" s="178"/>
      <c r="B84" s="749" t="s">
        <v>495</v>
      </c>
      <c r="C84" s="750"/>
      <c r="D84" s="182"/>
      <c r="E84" s="182"/>
      <c r="F84" s="182"/>
      <c r="G84" s="546"/>
      <c r="H84" s="553"/>
      <c r="I84" s="549"/>
      <c r="J84" s="182"/>
      <c r="K84" s="182"/>
      <c r="L84" s="182"/>
      <c r="M84" s="182"/>
      <c r="N84" s="546"/>
      <c r="O84" s="552"/>
      <c r="P84" s="564"/>
      <c r="Q84" s="560"/>
      <c r="R84" s="182"/>
      <c r="S84" s="182"/>
      <c r="T84" s="182"/>
      <c r="U84" s="182"/>
      <c r="V84" s="182"/>
      <c r="W84" s="182"/>
      <c r="X84" s="182"/>
      <c r="Y84" s="182"/>
      <c r="Z84" s="546"/>
      <c r="AA84" s="552"/>
      <c r="AB84" s="557"/>
      <c r="AC84" s="182"/>
      <c r="AD84" s="182"/>
      <c r="AE84" s="182"/>
      <c r="AF84" s="182"/>
      <c r="AG84" s="546"/>
      <c r="AH84" s="552"/>
      <c r="AI84" s="182"/>
      <c r="AJ84" s="182"/>
      <c r="AK84" s="182"/>
      <c r="AL84" s="182"/>
      <c r="AM84" s="182"/>
    </row>
    <row r="85" spans="1:39" s="183" customFormat="1" ht="30" customHeight="1">
      <c r="A85" s="178">
        <v>1</v>
      </c>
      <c r="B85" s="57" t="s">
        <v>540</v>
      </c>
      <c r="C85" s="543" t="s">
        <v>548</v>
      </c>
      <c r="D85" s="180" t="s">
        <v>613</v>
      </c>
      <c r="E85" s="545" t="s">
        <v>541</v>
      </c>
      <c r="F85" s="180" t="s">
        <v>588</v>
      </c>
      <c r="G85" s="546">
        <v>1</v>
      </c>
      <c r="H85" s="553" t="s">
        <v>654</v>
      </c>
      <c r="I85" s="549">
        <v>5.01</v>
      </c>
      <c r="J85" s="559">
        <f>I85*83200</f>
        <v>416832</v>
      </c>
      <c r="K85" s="182"/>
      <c r="L85" s="180">
        <f>J85*5%</f>
        <v>20841.600000000002</v>
      </c>
      <c r="M85" s="546">
        <f>J85+K85+L85</f>
        <v>437673.6</v>
      </c>
      <c r="N85" s="546">
        <v>1</v>
      </c>
      <c r="O85" s="552" t="s">
        <v>636</v>
      </c>
      <c r="P85" s="564">
        <v>5.01</v>
      </c>
      <c r="Q85" s="559">
        <f>P85*83200</f>
        <v>416832</v>
      </c>
      <c r="R85" s="182"/>
      <c r="S85" s="555">
        <f>Q85*5%</f>
        <v>20841.600000000002</v>
      </c>
      <c r="T85" s="182">
        <f>Q85+R85+S85</f>
        <v>437673.6</v>
      </c>
      <c r="U85" s="180">
        <f>+G85-N85</f>
        <v>0</v>
      </c>
      <c r="V85" s="180">
        <f aca="true" t="shared" si="46" ref="V85:X87">J85-Q85</f>
        <v>0</v>
      </c>
      <c r="W85" s="180">
        <f t="shared" si="46"/>
        <v>0</v>
      </c>
      <c r="X85" s="180">
        <f t="shared" si="46"/>
        <v>0</v>
      </c>
      <c r="Y85" s="180">
        <f>V85+W85+X85</f>
        <v>0</v>
      </c>
      <c r="Z85" s="546">
        <v>1</v>
      </c>
      <c r="AA85" s="552" t="s">
        <v>668</v>
      </c>
      <c r="AB85" s="557">
        <v>5.01</v>
      </c>
      <c r="AC85" s="555">
        <f>AB85*83200</f>
        <v>416832</v>
      </c>
      <c r="AD85" s="180"/>
      <c r="AE85" s="547">
        <f>AC85*5%</f>
        <v>20841.600000000002</v>
      </c>
      <c r="AF85" s="555">
        <f>AC85+AD85+AE85</f>
        <v>437673.6</v>
      </c>
      <c r="AG85" s="546">
        <v>1</v>
      </c>
      <c r="AH85" s="552" t="s">
        <v>682</v>
      </c>
      <c r="AI85" s="557">
        <v>5.17</v>
      </c>
      <c r="AJ85" s="555">
        <f>AI85*83200</f>
        <v>430144</v>
      </c>
      <c r="AK85" s="555"/>
      <c r="AL85" s="547">
        <f>AJ85*5%</f>
        <v>21507.2</v>
      </c>
      <c r="AM85" s="555">
        <f>AJ85+AK85+AL85</f>
        <v>451651.2</v>
      </c>
    </row>
    <row r="86" spans="1:39" s="183" customFormat="1" ht="21.75" customHeight="1">
      <c r="A86" s="178">
        <v>2</v>
      </c>
      <c r="B86" s="542" t="s">
        <v>505</v>
      </c>
      <c r="D86" s="180"/>
      <c r="E86" s="544" t="s">
        <v>542</v>
      </c>
      <c r="F86" s="180" t="s">
        <v>590</v>
      </c>
      <c r="G86" s="546">
        <v>1</v>
      </c>
      <c r="H86" s="553"/>
      <c r="I86" s="558">
        <v>3.76</v>
      </c>
      <c r="J86" s="559">
        <f>I86*83200</f>
        <v>312832</v>
      </c>
      <c r="K86" s="182"/>
      <c r="L86" s="182"/>
      <c r="M86" s="546">
        <f>J86+K86+L86</f>
        <v>312832</v>
      </c>
      <c r="N86" s="546">
        <v>1</v>
      </c>
      <c r="O86" s="552"/>
      <c r="P86" s="564">
        <v>3.76</v>
      </c>
      <c r="Q86" s="559">
        <f>P86*83200</f>
        <v>312832</v>
      </c>
      <c r="R86" s="182"/>
      <c r="S86" s="182"/>
      <c r="T86" s="182">
        <f>Q86+R86+S86</f>
        <v>312832</v>
      </c>
      <c r="U86" s="180">
        <f>+G86-N86</f>
        <v>0</v>
      </c>
      <c r="V86" s="180">
        <f t="shared" si="46"/>
        <v>0</v>
      </c>
      <c r="W86" s="180">
        <f t="shared" si="46"/>
        <v>0</v>
      </c>
      <c r="X86" s="180">
        <f t="shared" si="46"/>
        <v>0</v>
      </c>
      <c r="Y86" s="180">
        <f>V86+W86+X86</f>
        <v>0</v>
      </c>
      <c r="Z86" s="546">
        <v>1</v>
      </c>
      <c r="AA86" s="552"/>
      <c r="AB86" s="557">
        <v>3.88</v>
      </c>
      <c r="AC86" s="555">
        <f>AB86*83200</f>
        <v>322816</v>
      </c>
      <c r="AD86" s="180"/>
      <c r="AE86" s="180"/>
      <c r="AF86" s="555">
        <f>AC86+AD86+AE86</f>
        <v>322816</v>
      </c>
      <c r="AG86" s="546">
        <v>1</v>
      </c>
      <c r="AH86" s="552"/>
      <c r="AI86" s="557">
        <v>3.88</v>
      </c>
      <c r="AJ86" s="555">
        <f>AI86*83200</f>
        <v>322816</v>
      </c>
      <c r="AK86" s="555"/>
      <c r="AL86" s="555"/>
      <c r="AM86" s="555">
        <f>AJ86+AK86+AL86</f>
        <v>322816</v>
      </c>
    </row>
    <row r="87" spans="1:39" s="183" customFormat="1" ht="18" customHeight="1">
      <c r="A87" s="178">
        <v>3</v>
      </c>
      <c r="B87" s="57" t="s">
        <v>617</v>
      </c>
      <c r="C87" s="543" t="s">
        <v>548</v>
      </c>
      <c r="D87" s="180" t="s">
        <v>614</v>
      </c>
      <c r="E87" s="544" t="s">
        <v>542</v>
      </c>
      <c r="F87" s="180" t="s">
        <v>589</v>
      </c>
      <c r="G87" s="546">
        <v>1</v>
      </c>
      <c r="H87" s="553" t="s">
        <v>642</v>
      </c>
      <c r="I87" s="549">
        <v>3.42</v>
      </c>
      <c r="J87" s="559">
        <f>I87*83200</f>
        <v>284544</v>
      </c>
      <c r="K87" s="182"/>
      <c r="L87" s="182"/>
      <c r="M87" s="546">
        <f>J87+K87+L87</f>
        <v>284544</v>
      </c>
      <c r="N87" s="546">
        <v>1</v>
      </c>
      <c r="O87" s="552" t="s">
        <v>622</v>
      </c>
      <c r="P87" s="564">
        <v>3.31</v>
      </c>
      <c r="Q87" s="559">
        <f>P87*83200</f>
        <v>275392</v>
      </c>
      <c r="R87" s="182"/>
      <c r="S87" s="182"/>
      <c r="T87" s="182">
        <f>Q87+R87+S87</f>
        <v>275392</v>
      </c>
      <c r="U87" s="180">
        <f>+G87-N87</f>
        <v>0</v>
      </c>
      <c r="V87" s="180">
        <f t="shared" si="46"/>
        <v>9152</v>
      </c>
      <c r="W87" s="180">
        <f t="shared" si="46"/>
        <v>0</v>
      </c>
      <c r="X87" s="180">
        <f t="shared" si="46"/>
        <v>0</v>
      </c>
      <c r="Y87" s="180">
        <f>V87+W87+X87</f>
        <v>9152</v>
      </c>
      <c r="Z87" s="546">
        <v>1</v>
      </c>
      <c r="AA87" s="552" t="s">
        <v>627</v>
      </c>
      <c r="AB87" s="557">
        <v>3.53</v>
      </c>
      <c r="AC87" s="555">
        <f>AB87*83200</f>
        <v>293696</v>
      </c>
      <c r="AD87" s="180"/>
      <c r="AE87" s="180"/>
      <c r="AF87" s="555">
        <f>AC87+AD87+AE87</f>
        <v>293696</v>
      </c>
      <c r="AG87" s="546">
        <v>1</v>
      </c>
      <c r="AH87" s="552" t="s">
        <v>635</v>
      </c>
      <c r="AI87" s="557">
        <v>3.64</v>
      </c>
      <c r="AJ87" s="555">
        <f>AI87*83200</f>
        <v>302848</v>
      </c>
      <c r="AK87" s="555"/>
      <c r="AL87" s="555"/>
      <c r="AM87" s="555">
        <f>AJ87+AK87+AL87</f>
        <v>302848</v>
      </c>
    </row>
    <row r="88" spans="1:39" s="183" customFormat="1" ht="14.25">
      <c r="A88" s="178"/>
      <c r="B88" s="749" t="s">
        <v>135</v>
      </c>
      <c r="C88" s="750"/>
      <c r="D88" s="182" t="s">
        <v>1</v>
      </c>
      <c r="E88" s="182" t="s">
        <v>1</v>
      </c>
      <c r="F88" s="182" t="s">
        <v>1</v>
      </c>
      <c r="G88" s="546">
        <f>SUM(G85:G87)</f>
        <v>3</v>
      </c>
      <c r="H88" s="553" t="s">
        <v>1</v>
      </c>
      <c r="I88" s="549" t="s">
        <v>1</v>
      </c>
      <c r="J88" s="546">
        <f>SUM(J85:J87)</f>
        <v>1014208</v>
      </c>
      <c r="K88" s="546">
        <f>SUM(K85:K87)</f>
        <v>0</v>
      </c>
      <c r="L88" s="546">
        <f>SUM(L85:L87)</f>
        <v>20841.600000000002</v>
      </c>
      <c r="M88" s="546">
        <f>SUM(M85:M87)</f>
        <v>1035049.6</v>
      </c>
      <c r="N88" s="546">
        <f>SUM(N85:N87)</f>
        <v>3</v>
      </c>
      <c r="O88" s="182" t="s">
        <v>1</v>
      </c>
      <c r="P88" s="564" t="s">
        <v>1</v>
      </c>
      <c r="Q88" s="546">
        <f aca="true" t="shared" si="47" ref="Q88:AM88">SUM(Q85:Q87)</f>
        <v>1005056</v>
      </c>
      <c r="R88" s="546">
        <f t="shared" si="47"/>
        <v>0</v>
      </c>
      <c r="S88" s="546">
        <f t="shared" si="47"/>
        <v>20841.600000000002</v>
      </c>
      <c r="T88" s="546">
        <f t="shared" si="47"/>
        <v>1025897.6</v>
      </c>
      <c r="U88" s="546">
        <f t="shared" si="47"/>
        <v>0</v>
      </c>
      <c r="V88" s="546">
        <f t="shared" si="47"/>
        <v>9152</v>
      </c>
      <c r="W88" s="546">
        <f t="shared" si="47"/>
        <v>0</v>
      </c>
      <c r="X88" s="546">
        <f t="shared" si="47"/>
        <v>0</v>
      </c>
      <c r="Y88" s="546">
        <f t="shared" si="47"/>
        <v>9152</v>
      </c>
      <c r="Z88" s="546">
        <f t="shared" si="47"/>
        <v>3</v>
      </c>
      <c r="AA88" s="552" t="s">
        <v>1</v>
      </c>
      <c r="AB88" s="557" t="s">
        <v>1</v>
      </c>
      <c r="AC88" s="546">
        <f t="shared" si="47"/>
        <v>1033344</v>
      </c>
      <c r="AD88" s="546">
        <f t="shared" si="47"/>
        <v>0</v>
      </c>
      <c r="AE88" s="546">
        <f t="shared" si="47"/>
        <v>20841.600000000002</v>
      </c>
      <c r="AF88" s="546">
        <f t="shared" si="47"/>
        <v>1054185.6</v>
      </c>
      <c r="AG88" s="546">
        <f t="shared" si="47"/>
        <v>3</v>
      </c>
      <c r="AH88" s="552" t="s">
        <v>1</v>
      </c>
      <c r="AI88" s="546" t="s">
        <v>1</v>
      </c>
      <c r="AJ88" s="546">
        <f t="shared" si="47"/>
        <v>1055808</v>
      </c>
      <c r="AK88" s="546">
        <f t="shared" si="47"/>
        <v>0</v>
      </c>
      <c r="AL88" s="546">
        <f t="shared" si="47"/>
        <v>21507.2</v>
      </c>
      <c r="AM88" s="546">
        <f t="shared" si="47"/>
        <v>1077315.2</v>
      </c>
    </row>
    <row r="89" spans="1:39" s="183" customFormat="1" ht="14.25">
      <c r="A89" s="178"/>
      <c r="B89" s="359"/>
      <c r="C89" s="359"/>
      <c r="D89" s="182"/>
      <c r="E89" s="182"/>
      <c r="F89" s="182"/>
      <c r="G89" s="546"/>
      <c r="H89" s="553"/>
      <c r="I89" s="549"/>
      <c r="J89" s="182"/>
      <c r="K89" s="182"/>
      <c r="L89" s="182"/>
      <c r="M89" s="182"/>
      <c r="N89" s="546"/>
      <c r="O89" s="552"/>
      <c r="P89" s="564"/>
      <c r="Q89" s="560"/>
      <c r="R89" s="182"/>
      <c r="S89" s="182"/>
      <c r="T89" s="182"/>
      <c r="U89" s="182"/>
      <c r="V89" s="182"/>
      <c r="W89" s="182"/>
      <c r="X89" s="182"/>
      <c r="Y89" s="182"/>
      <c r="Z89" s="546"/>
      <c r="AA89" s="552"/>
      <c r="AB89" s="557"/>
      <c r="AC89" s="182"/>
      <c r="AD89" s="182"/>
      <c r="AE89" s="182"/>
      <c r="AF89" s="182"/>
      <c r="AG89" s="546"/>
      <c r="AH89" s="552"/>
      <c r="AI89" s="182"/>
      <c r="AJ89" s="182"/>
      <c r="AK89" s="182"/>
      <c r="AL89" s="182"/>
      <c r="AM89" s="182"/>
    </row>
    <row r="90" spans="1:39" s="183" customFormat="1" ht="40.5">
      <c r="A90" s="178"/>
      <c r="B90" s="359" t="s">
        <v>136</v>
      </c>
      <c r="C90" s="359"/>
      <c r="D90" s="182" t="s">
        <v>1</v>
      </c>
      <c r="E90" s="182" t="s">
        <v>1</v>
      </c>
      <c r="F90" s="182" t="s">
        <v>1</v>
      </c>
      <c r="G90" s="546">
        <f>G27+G43+G57+G62+G69+G73+G78+G83+G88</f>
        <v>37</v>
      </c>
      <c r="H90" s="553" t="s">
        <v>1</v>
      </c>
      <c r="I90" s="549" t="s">
        <v>1</v>
      </c>
      <c r="J90" s="546">
        <f>J27+J43+J57+J62+J69+J73+J78+J83+J88</f>
        <v>12420928</v>
      </c>
      <c r="K90" s="546">
        <f>K27+K43+K57+K62+K69+K73+K78+K83+K88</f>
        <v>1098938.88</v>
      </c>
      <c r="L90" s="546">
        <f>L27+L43+L57+L62+L69+L73+L78+L83+L88</f>
        <v>195395.2</v>
      </c>
      <c r="M90" s="546">
        <f>M27+M43+M57+M62+M69+M73+M78+M83+M88</f>
        <v>13715262.079999998</v>
      </c>
      <c r="N90" s="546">
        <f>N27+N43+N57+N62+N69+N73+N78+N83+N88</f>
        <v>37</v>
      </c>
      <c r="O90" s="182" t="s">
        <v>1</v>
      </c>
      <c r="P90" s="564" t="s">
        <v>1</v>
      </c>
      <c r="Q90" s="546">
        <f>Q27+Q43+Q57+Q62+Q69+Q73+Q78+Q83+Q88</f>
        <v>12296128</v>
      </c>
      <c r="R90" s="546">
        <f aca="true" t="shared" si="48" ref="R90:AM90">R27+R43+R57+R62+R69+R73+R78+R83+R88</f>
        <v>1086958.0799999998</v>
      </c>
      <c r="S90" s="546">
        <f t="shared" si="48"/>
        <v>195395.2</v>
      </c>
      <c r="T90" s="546">
        <f t="shared" si="48"/>
        <v>13578481.279999997</v>
      </c>
      <c r="U90" s="546">
        <f t="shared" si="48"/>
        <v>0</v>
      </c>
      <c r="V90" s="546">
        <f t="shared" si="48"/>
        <v>124799.99999999997</v>
      </c>
      <c r="W90" s="546">
        <f t="shared" si="48"/>
        <v>11980.800000000014</v>
      </c>
      <c r="X90" s="546">
        <f t="shared" si="48"/>
        <v>0</v>
      </c>
      <c r="Y90" s="546">
        <f t="shared" si="48"/>
        <v>136780.8</v>
      </c>
      <c r="Z90" s="546">
        <f t="shared" si="48"/>
        <v>37</v>
      </c>
      <c r="AA90" s="182" t="s">
        <v>1</v>
      </c>
      <c r="AB90" s="182" t="s">
        <v>1</v>
      </c>
      <c r="AC90" s="546">
        <f t="shared" si="48"/>
        <v>12690496</v>
      </c>
      <c r="AD90" s="546">
        <f t="shared" si="48"/>
        <v>1160939.5199999998</v>
      </c>
      <c r="AE90" s="546">
        <f t="shared" si="48"/>
        <v>199888.00000000003</v>
      </c>
      <c r="AF90" s="546">
        <f t="shared" si="48"/>
        <v>14051323.52</v>
      </c>
      <c r="AG90" s="546">
        <f t="shared" si="48"/>
        <v>37</v>
      </c>
      <c r="AH90" s="552" t="s">
        <v>1</v>
      </c>
      <c r="AI90" s="546" t="s">
        <v>1</v>
      </c>
      <c r="AJ90" s="546">
        <f t="shared" si="48"/>
        <v>12859392</v>
      </c>
      <c r="AK90" s="546">
        <f t="shared" si="48"/>
        <v>1176614.3999999997</v>
      </c>
      <c r="AL90" s="546">
        <f t="shared" si="48"/>
        <v>201635.2</v>
      </c>
      <c r="AM90" s="546">
        <f t="shared" si="48"/>
        <v>14237641.599999998</v>
      </c>
    </row>
    <row r="91" spans="1:39" ht="13.5">
      <c r="A91" s="173"/>
      <c r="B91" s="358"/>
      <c r="C91" s="358"/>
      <c r="D91" s="180"/>
      <c r="E91" s="180"/>
      <c r="F91" s="180"/>
      <c r="G91" s="181"/>
      <c r="H91" s="552"/>
      <c r="I91" s="549"/>
      <c r="J91" s="181"/>
      <c r="K91" s="181"/>
      <c r="L91" s="181"/>
      <c r="M91" s="181"/>
      <c r="N91" s="181"/>
      <c r="O91" s="180"/>
      <c r="P91" s="549"/>
      <c r="Q91" s="562"/>
      <c r="R91" s="181"/>
      <c r="S91" s="181"/>
      <c r="T91" s="181"/>
      <c r="U91" s="181"/>
      <c r="V91" s="181"/>
      <c r="W91" s="181"/>
      <c r="X91" s="181"/>
      <c r="Y91" s="181"/>
      <c r="Z91" s="181"/>
      <c r="AA91" s="552"/>
      <c r="AB91" s="549"/>
      <c r="AC91" s="181"/>
      <c r="AD91" s="181"/>
      <c r="AE91" s="181"/>
      <c r="AF91" s="181"/>
      <c r="AG91" s="181"/>
      <c r="AH91" s="552"/>
      <c r="AI91" s="180"/>
      <c r="AJ91" s="181"/>
      <c r="AK91" s="181"/>
      <c r="AL91" s="181"/>
      <c r="AM91" s="181"/>
    </row>
    <row r="92" spans="1:39" ht="13.5">
      <c r="A92" s="173"/>
      <c r="B92" s="207"/>
      <c r="C92" s="207"/>
      <c r="D92" s="180"/>
      <c r="E92" s="180"/>
      <c r="F92" s="180"/>
      <c r="G92" s="75"/>
      <c r="H92" s="552"/>
      <c r="I92" s="549"/>
      <c r="J92" s="75"/>
      <c r="K92" s="75"/>
      <c r="L92" s="75"/>
      <c r="M92" s="75"/>
      <c r="N92" s="75"/>
      <c r="O92" s="180"/>
      <c r="P92" s="549"/>
      <c r="Q92" s="542"/>
      <c r="R92" s="75"/>
      <c r="S92" s="75"/>
      <c r="T92" s="75"/>
      <c r="U92" s="75"/>
      <c r="V92" s="75"/>
      <c r="W92" s="75"/>
      <c r="X92" s="75"/>
      <c r="Y92" s="75"/>
      <c r="Z92" s="75"/>
      <c r="AA92" s="552"/>
      <c r="AB92" s="549"/>
      <c r="AC92" s="75"/>
      <c r="AD92" s="75"/>
      <c r="AE92" s="75"/>
      <c r="AF92" s="75"/>
      <c r="AG92" s="75"/>
      <c r="AH92" s="552"/>
      <c r="AI92" s="180"/>
      <c r="AJ92" s="75"/>
      <c r="AK92" s="75"/>
      <c r="AL92" s="75"/>
      <c r="AM92" s="75"/>
    </row>
    <row r="93" spans="1:39" ht="62.25" customHeight="1">
      <c r="A93" s="178" t="s">
        <v>5</v>
      </c>
      <c r="B93" s="357" t="s">
        <v>232</v>
      </c>
      <c r="C93" s="357"/>
      <c r="D93" s="180"/>
      <c r="E93" s="180"/>
      <c r="F93" s="180"/>
      <c r="G93" s="179"/>
      <c r="H93" s="552"/>
      <c r="I93" s="549"/>
      <c r="J93" s="179"/>
      <c r="K93" s="179"/>
      <c r="L93" s="179"/>
      <c r="M93" s="179"/>
      <c r="N93" s="179"/>
      <c r="O93" s="180"/>
      <c r="P93" s="549"/>
      <c r="Q93" s="563"/>
      <c r="R93" s="179"/>
      <c r="S93" s="179"/>
      <c r="T93" s="179"/>
      <c r="U93" s="179"/>
      <c r="V93" s="179"/>
      <c r="W93" s="179"/>
      <c r="X93" s="179"/>
      <c r="Y93" s="179"/>
      <c r="Z93" s="179"/>
      <c r="AA93" s="552"/>
      <c r="AB93" s="549"/>
      <c r="AC93" s="179"/>
      <c r="AD93" s="179"/>
      <c r="AE93" s="179"/>
      <c r="AF93" s="179"/>
      <c r="AG93" s="179"/>
      <c r="AH93" s="552"/>
      <c r="AI93" s="180"/>
      <c r="AJ93" s="179"/>
      <c r="AK93" s="179"/>
      <c r="AL93" s="179"/>
      <c r="AM93" s="179"/>
    </row>
    <row r="94" spans="1:39" ht="13.5">
      <c r="A94" s="173"/>
      <c r="B94" s="235" t="s">
        <v>117</v>
      </c>
      <c r="C94" s="235"/>
      <c r="D94" s="180"/>
      <c r="E94" s="180"/>
      <c r="F94" s="180"/>
      <c r="G94" s="154"/>
      <c r="H94" s="552"/>
      <c r="I94" s="549"/>
      <c r="J94" s="154"/>
      <c r="K94" s="154"/>
      <c r="L94" s="154"/>
      <c r="M94" s="154"/>
      <c r="N94" s="154"/>
      <c r="O94" s="180"/>
      <c r="P94" s="549"/>
      <c r="Q94" s="561"/>
      <c r="R94" s="154"/>
      <c r="S94" s="154"/>
      <c r="T94" s="154"/>
      <c r="U94" s="154"/>
      <c r="V94" s="154"/>
      <c r="W94" s="154"/>
      <c r="X94" s="154"/>
      <c r="Y94" s="154"/>
      <c r="Z94" s="154"/>
      <c r="AA94" s="552"/>
      <c r="AB94" s="549"/>
      <c r="AC94" s="154"/>
      <c r="AD94" s="154"/>
      <c r="AE94" s="154"/>
      <c r="AF94" s="154"/>
      <c r="AG94" s="154"/>
      <c r="AH94" s="552"/>
      <c r="AI94" s="180"/>
      <c r="AJ94" s="154"/>
      <c r="AK94" s="154"/>
      <c r="AL94" s="154"/>
      <c r="AM94" s="154"/>
    </row>
    <row r="95" spans="1:39" ht="17.25" customHeight="1">
      <c r="A95" s="173">
        <v>1</v>
      </c>
      <c r="B95" s="57" t="s">
        <v>543</v>
      </c>
      <c r="C95" s="539" t="s">
        <v>547</v>
      </c>
      <c r="D95" s="180" t="s">
        <v>615</v>
      </c>
      <c r="E95" s="544" t="s">
        <v>544</v>
      </c>
      <c r="F95" s="180" t="s">
        <v>1</v>
      </c>
      <c r="G95" s="75">
        <v>1</v>
      </c>
      <c r="H95" s="552" t="s">
        <v>1</v>
      </c>
      <c r="I95" s="549">
        <v>1</v>
      </c>
      <c r="J95" s="559">
        <f>I95*83200</f>
        <v>83200</v>
      </c>
      <c r="K95" s="75"/>
      <c r="L95" s="75"/>
      <c r="M95" s="180">
        <f>J95+K95+L95</f>
        <v>83200</v>
      </c>
      <c r="N95" s="75">
        <v>1</v>
      </c>
      <c r="O95" s="180"/>
      <c r="P95" s="549">
        <v>1</v>
      </c>
      <c r="Q95" s="559">
        <f>P95*83200</f>
        <v>83200</v>
      </c>
      <c r="R95" s="75"/>
      <c r="S95" s="75"/>
      <c r="T95" s="180">
        <f>Q95+R95+S95</f>
        <v>83200</v>
      </c>
      <c r="U95" s="180">
        <f>+G95-N95</f>
        <v>0</v>
      </c>
      <c r="V95" s="180">
        <f aca="true" t="shared" si="49" ref="V95:X96">J95-Q95</f>
        <v>0</v>
      </c>
      <c r="W95" s="180">
        <f t="shared" si="49"/>
        <v>0</v>
      </c>
      <c r="X95" s="180">
        <f t="shared" si="49"/>
        <v>0</v>
      </c>
      <c r="Y95" s="180">
        <f>V95+W95+X95</f>
        <v>0</v>
      </c>
      <c r="Z95" s="75">
        <v>1</v>
      </c>
      <c r="AA95" s="552"/>
      <c r="AB95" s="549">
        <v>1</v>
      </c>
      <c r="AC95" s="559">
        <f>AB95*83200</f>
        <v>83200</v>
      </c>
      <c r="AD95" s="75"/>
      <c r="AE95" s="75"/>
      <c r="AF95" s="555">
        <f>AC95+AD95+AE95</f>
        <v>83200</v>
      </c>
      <c r="AG95" s="75">
        <v>1</v>
      </c>
      <c r="AH95" s="552" t="s">
        <v>1</v>
      </c>
      <c r="AI95" s="549">
        <v>1</v>
      </c>
      <c r="AJ95" s="559">
        <f>AI95*83200</f>
        <v>83200</v>
      </c>
      <c r="AK95" s="75"/>
      <c r="AL95" s="75"/>
      <c r="AM95" s="555">
        <f>AJ95+AK95+AL95</f>
        <v>83200</v>
      </c>
    </row>
    <row r="96" spans="1:39" ht="16.5" customHeight="1">
      <c r="A96" s="173">
        <v>2</v>
      </c>
      <c r="B96" s="57" t="s">
        <v>545</v>
      </c>
      <c r="C96" s="543" t="s">
        <v>548</v>
      </c>
      <c r="D96" s="180" t="s">
        <v>616</v>
      </c>
      <c r="E96" s="544" t="s">
        <v>546</v>
      </c>
      <c r="F96" s="180" t="s">
        <v>1</v>
      </c>
      <c r="G96" s="75">
        <v>1</v>
      </c>
      <c r="H96" s="552" t="s">
        <v>1</v>
      </c>
      <c r="I96" s="549"/>
      <c r="J96" s="559">
        <v>98600</v>
      </c>
      <c r="K96" s="75"/>
      <c r="L96" s="75"/>
      <c r="M96" s="180">
        <f>J96+K96+L96</f>
        <v>98600</v>
      </c>
      <c r="N96" s="75">
        <v>1</v>
      </c>
      <c r="O96" s="180"/>
      <c r="P96" s="549"/>
      <c r="Q96" s="559">
        <v>98600</v>
      </c>
      <c r="R96" s="75"/>
      <c r="S96" s="75"/>
      <c r="T96" s="180">
        <f>Q96+R96+S96</f>
        <v>98600</v>
      </c>
      <c r="U96" s="180">
        <f>+G96-N96</f>
        <v>0</v>
      </c>
      <c r="V96" s="180">
        <f t="shared" si="49"/>
        <v>0</v>
      </c>
      <c r="W96" s="180">
        <f t="shared" si="49"/>
        <v>0</v>
      </c>
      <c r="X96" s="180">
        <f t="shared" si="49"/>
        <v>0</v>
      </c>
      <c r="Y96" s="180">
        <f>V96+W96+X96</f>
        <v>0</v>
      </c>
      <c r="Z96" s="75">
        <v>1</v>
      </c>
      <c r="AA96" s="552"/>
      <c r="AB96" s="549"/>
      <c r="AC96" s="559">
        <v>98600</v>
      </c>
      <c r="AD96" s="75"/>
      <c r="AE96" s="75"/>
      <c r="AF96" s="555">
        <f>AC96+AD96+AE96</f>
        <v>98600</v>
      </c>
      <c r="AG96" s="75">
        <v>1</v>
      </c>
      <c r="AH96" s="552" t="s">
        <v>1</v>
      </c>
      <c r="AI96" s="549"/>
      <c r="AJ96" s="559">
        <v>98600</v>
      </c>
      <c r="AK96" s="75"/>
      <c r="AL96" s="75"/>
      <c r="AM96" s="555">
        <f>AJ96+AK96+AL96</f>
        <v>98600</v>
      </c>
    </row>
    <row r="97" spans="1:39" ht="13.5">
      <c r="A97" s="173"/>
      <c r="B97" s="207"/>
      <c r="C97" s="207"/>
      <c r="D97" s="180"/>
      <c r="E97" s="180"/>
      <c r="F97" s="180" t="s">
        <v>1</v>
      </c>
      <c r="G97" s="75"/>
      <c r="H97" s="552" t="s">
        <v>1</v>
      </c>
      <c r="I97" s="549"/>
      <c r="J97" s="75"/>
      <c r="K97" s="75"/>
      <c r="L97" s="75"/>
      <c r="M97" s="180"/>
      <c r="N97" s="75"/>
      <c r="O97" s="180"/>
      <c r="P97" s="549"/>
      <c r="Q97" s="542"/>
      <c r="R97" s="75"/>
      <c r="S97" s="75"/>
      <c r="T97" s="180"/>
      <c r="U97" s="180"/>
      <c r="V97" s="180"/>
      <c r="W97" s="180"/>
      <c r="X97" s="180"/>
      <c r="Y97" s="180"/>
      <c r="Z97" s="75"/>
      <c r="AA97" s="552"/>
      <c r="AB97" s="549"/>
      <c r="AC97" s="75"/>
      <c r="AD97" s="75"/>
      <c r="AE97" s="75"/>
      <c r="AF97" s="180"/>
      <c r="AG97" s="75"/>
      <c r="AH97" s="552"/>
      <c r="AI97" s="180"/>
      <c r="AJ97" s="75"/>
      <c r="AK97" s="75"/>
      <c r="AL97" s="75"/>
      <c r="AM97" s="180">
        <f>AJ97+AK97+AL97</f>
        <v>0</v>
      </c>
    </row>
    <row r="98" spans="1:39" s="183" customFormat="1" ht="14.25">
      <c r="A98" s="178"/>
      <c r="B98" s="358" t="s">
        <v>70</v>
      </c>
      <c r="C98" s="358"/>
      <c r="D98" s="182" t="s">
        <v>1</v>
      </c>
      <c r="E98" s="182" t="s">
        <v>1</v>
      </c>
      <c r="F98" s="182" t="s">
        <v>1</v>
      </c>
      <c r="G98" s="546">
        <f>SUM(G95:G97)</f>
        <v>2</v>
      </c>
      <c r="H98" s="553" t="s">
        <v>1</v>
      </c>
      <c r="I98" s="549" t="s">
        <v>1</v>
      </c>
      <c r="J98" s="182">
        <f>SUM(J95:J97)</f>
        <v>181800</v>
      </c>
      <c r="K98" s="182">
        <f>SUM(K95:K97)</f>
        <v>0</v>
      </c>
      <c r="L98" s="182">
        <f>SUM(L95:L97)</f>
        <v>0</v>
      </c>
      <c r="M98" s="182">
        <f>SUM(M95:M97)</f>
        <v>181800</v>
      </c>
      <c r="N98" s="546">
        <f>SUM(N95:N97)</f>
        <v>2</v>
      </c>
      <c r="O98" s="182" t="s">
        <v>1</v>
      </c>
      <c r="P98" s="557" t="s">
        <v>1</v>
      </c>
      <c r="Q98" s="182">
        <f aca="true" t="shared" si="50" ref="Q98:Y98">SUM(Q95:Q97)</f>
        <v>181800</v>
      </c>
      <c r="R98" s="182">
        <f t="shared" si="50"/>
        <v>0</v>
      </c>
      <c r="S98" s="182">
        <f t="shared" si="50"/>
        <v>0</v>
      </c>
      <c r="T98" s="182">
        <f t="shared" si="50"/>
        <v>181800</v>
      </c>
      <c r="U98" s="182">
        <f t="shared" si="50"/>
        <v>0</v>
      </c>
      <c r="V98" s="182">
        <f t="shared" si="50"/>
        <v>0</v>
      </c>
      <c r="W98" s="182">
        <f t="shared" si="50"/>
        <v>0</v>
      </c>
      <c r="X98" s="182">
        <f t="shared" si="50"/>
        <v>0</v>
      </c>
      <c r="Y98" s="182">
        <f t="shared" si="50"/>
        <v>0</v>
      </c>
      <c r="Z98" s="546">
        <f>SUM(Z95:Z97)</f>
        <v>2</v>
      </c>
      <c r="AA98" s="552" t="s">
        <v>1</v>
      </c>
      <c r="AB98" s="557" t="s">
        <v>1</v>
      </c>
      <c r="AC98" s="546">
        <f>SUM(AC95:AC97)</f>
        <v>181800</v>
      </c>
      <c r="AD98" s="546">
        <f>SUM(AD95:AD97)</f>
        <v>0</v>
      </c>
      <c r="AE98" s="546">
        <f>SUM(AE95:AE97)</f>
        <v>0</v>
      </c>
      <c r="AF98" s="546">
        <f>SUM(AF95:AF97)</f>
        <v>181800</v>
      </c>
      <c r="AG98" s="546">
        <f>SUM(AG95:AG97)</f>
        <v>2</v>
      </c>
      <c r="AH98" s="552" t="s">
        <v>1</v>
      </c>
      <c r="AI98" s="182" t="s">
        <v>1</v>
      </c>
      <c r="AJ98" s="546">
        <f>SUM(AJ95:AJ97)</f>
        <v>181800</v>
      </c>
      <c r="AK98" s="546">
        <f>SUM(AK95:AK97)</f>
        <v>0</v>
      </c>
      <c r="AL98" s="546">
        <f>SUM(AL95:AL97)</f>
        <v>0</v>
      </c>
      <c r="AM98" s="546">
        <f>SUM(AM95:AM97)</f>
        <v>181800</v>
      </c>
    </row>
    <row r="99" spans="1:39" ht="13.5">
      <c r="A99" s="173"/>
      <c r="B99" s="207"/>
      <c r="C99" s="207"/>
      <c r="D99" s="180"/>
      <c r="E99" s="180"/>
      <c r="F99" s="180"/>
      <c r="G99" s="547"/>
      <c r="H99" s="552"/>
      <c r="I99" s="549"/>
      <c r="J99" s="180"/>
      <c r="K99" s="180"/>
      <c r="L99" s="180"/>
      <c r="M99" s="180"/>
      <c r="N99" s="547"/>
      <c r="O99" s="180"/>
      <c r="P99" s="549"/>
      <c r="Q99" s="180"/>
      <c r="R99" s="180"/>
      <c r="S99" s="180"/>
      <c r="T99" s="180"/>
      <c r="U99" s="180"/>
      <c r="V99" s="180"/>
      <c r="W99" s="180"/>
      <c r="X99" s="180"/>
      <c r="Y99" s="180"/>
      <c r="Z99" s="547"/>
      <c r="AA99" s="552"/>
      <c r="AB99" s="549"/>
      <c r="AC99" s="555"/>
      <c r="AD99" s="555"/>
      <c r="AE99" s="555"/>
      <c r="AF99" s="555"/>
      <c r="AG99" s="547"/>
      <c r="AH99" s="552"/>
      <c r="AI99" s="180"/>
      <c r="AJ99" s="180"/>
      <c r="AK99" s="180"/>
      <c r="AL99" s="180"/>
      <c r="AM99" s="180"/>
    </row>
    <row r="100" spans="1:39" s="353" customFormat="1" ht="30" customHeight="1">
      <c r="A100" s="351"/>
      <c r="B100" s="352" t="s">
        <v>145</v>
      </c>
      <c r="C100" s="352"/>
      <c r="D100" s="249" t="s">
        <v>1</v>
      </c>
      <c r="E100" s="249" t="s">
        <v>1</v>
      </c>
      <c r="F100" s="249" t="s">
        <v>1</v>
      </c>
      <c r="G100" s="548">
        <f>G13+G19+G90+G98</f>
        <v>43</v>
      </c>
      <c r="H100" s="554" t="s">
        <v>1</v>
      </c>
      <c r="I100" s="549" t="s">
        <v>1</v>
      </c>
      <c r="J100" s="249">
        <f>J13+J19+J90+J98</f>
        <v>15119528</v>
      </c>
      <c r="K100" s="249">
        <f>K13+K19+K90+K98</f>
        <v>1353530.88</v>
      </c>
      <c r="L100" s="249">
        <f>L13+L19+L90+L98</f>
        <v>295235.2</v>
      </c>
      <c r="M100" s="249">
        <f>M13+M19+M90+M98</f>
        <v>16768294.079999998</v>
      </c>
      <c r="N100" s="548">
        <f>N13+N19+N90+N98</f>
        <v>43</v>
      </c>
      <c r="O100" s="249" t="s">
        <v>1</v>
      </c>
      <c r="P100" s="556" t="s">
        <v>1</v>
      </c>
      <c r="Q100" s="548">
        <f aca="true" t="shared" si="51" ref="Q100:Z100">Q13+Q19+Q90+Q98</f>
        <v>14994728</v>
      </c>
      <c r="R100" s="548">
        <f t="shared" si="51"/>
        <v>1341550.0799999998</v>
      </c>
      <c r="S100" s="548">
        <f t="shared" si="51"/>
        <v>295235.2</v>
      </c>
      <c r="T100" s="548">
        <f t="shared" si="51"/>
        <v>16631513.279999997</v>
      </c>
      <c r="U100" s="548">
        <f t="shared" si="51"/>
        <v>0</v>
      </c>
      <c r="V100" s="548">
        <f t="shared" si="51"/>
        <v>124799.99999999997</v>
      </c>
      <c r="W100" s="548">
        <f t="shared" si="51"/>
        <v>11980.800000000014</v>
      </c>
      <c r="X100" s="548">
        <f t="shared" si="51"/>
        <v>0</v>
      </c>
      <c r="Y100" s="548">
        <f t="shared" si="51"/>
        <v>136780.8</v>
      </c>
      <c r="Z100" s="548">
        <f t="shared" si="51"/>
        <v>43</v>
      </c>
      <c r="AA100" s="552" t="s">
        <v>1</v>
      </c>
      <c r="AB100" s="556" t="s">
        <v>1</v>
      </c>
      <c r="AC100" s="548">
        <f>AC13+AC19+AC90+AC98</f>
        <v>15389096</v>
      </c>
      <c r="AD100" s="548">
        <f>AD13+AD19+AD90+AD98</f>
        <v>1415531.5199999998</v>
      </c>
      <c r="AE100" s="548">
        <f>AE13+AE19+AE90+AE98</f>
        <v>299728</v>
      </c>
      <c r="AF100" s="548">
        <f>AF13+AF19+AF90+AF98</f>
        <v>17104355.52</v>
      </c>
      <c r="AG100" s="548">
        <f>AG13+AG19+AG90+AG98</f>
        <v>43</v>
      </c>
      <c r="AH100" s="552" t="s">
        <v>1</v>
      </c>
      <c r="AI100" s="249" t="s">
        <v>1</v>
      </c>
      <c r="AJ100" s="548">
        <f>AJ13+AJ19+AJ90+AJ98</f>
        <v>15557992</v>
      </c>
      <c r="AK100" s="548">
        <f>AK13+AK19+AK90+AK98</f>
        <v>1431206.3999999997</v>
      </c>
      <c r="AL100" s="548">
        <f>AL13+AL19+AL90+AL98</f>
        <v>301475.2</v>
      </c>
      <c r="AM100" s="548">
        <f>AM13+AM19+AM90+AM98</f>
        <v>17290673.599999998</v>
      </c>
    </row>
    <row r="101" spans="1:39" s="11" customFormat="1" ht="12" customHeight="1">
      <c r="A101" s="36"/>
      <c r="B101" s="360"/>
      <c r="C101" s="360"/>
      <c r="D101" s="36"/>
      <c r="E101" s="185"/>
      <c r="F101" s="36"/>
      <c r="G101" s="184"/>
      <c r="H101" s="36"/>
      <c r="I101" s="36"/>
      <c r="J101" s="36"/>
      <c r="K101" s="36"/>
      <c r="L101" s="36"/>
      <c r="M101" s="36"/>
      <c r="N101" s="184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184"/>
      <c r="AA101" s="36"/>
      <c r="AB101" s="36"/>
      <c r="AC101" s="36"/>
      <c r="AD101" s="36"/>
      <c r="AE101" s="36"/>
      <c r="AF101" s="36"/>
      <c r="AG101" s="184"/>
      <c r="AH101" s="36"/>
      <c r="AI101" s="36"/>
      <c r="AJ101" s="36"/>
      <c r="AK101" s="36"/>
      <c r="AL101" s="36"/>
      <c r="AM101" s="36"/>
    </row>
    <row r="103" ht="13.5">
      <c r="B103" s="15" t="s">
        <v>138</v>
      </c>
    </row>
    <row r="104" spans="2:35" ht="19.5" customHeight="1">
      <c r="B104" s="361" t="s">
        <v>230</v>
      </c>
      <c r="C104" s="361"/>
      <c r="D104" s="233"/>
      <c r="E104" s="139"/>
      <c r="F104" s="233"/>
      <c r="G104" s="233"/>
      <c r="H104" s="233"/>
      <c r="I104" s="233"/>
      <c r="O104" s="233"/>
      <c r="P104" s="233"/>
      <c r="Z104" s="233"/>
      <c r="AA104" s="233"/>
      <c r="AB104" s="233"/>
      <c r="AG104" s="233"/>
      <c r="AH104" s="233"/>
      <c r="AI104" s="233"/>
    </row>
    <row r="105" spans="2:11" ht="33.75" customHeight="1">
      <c r="B105" s="738" t="s">
        <v>229</v>
      </c>
      <c r="C105" s="738"/>
      <c r="D105" s="738"/>
      <c r="E105" s="739"/>
      <c r="F105" s="739"/>
      <c r="G105" s="739"/>
      <c r="H105" s="739"/>
      <c r="I105" s="739"/>
      <c r="J105" s="739"/>
      <c r="K105" s="739"/>
    </row>
    <row r="106" spans="2:35" ht="19.5" customHeight="1">
      <c r="B106" s="362" t="s">
        <v>331</v>
      </c>
      <c r="C106" s="362"/>
      <c r="D106" s="233"/>
      <c r="E106" s="233"/>
      <c r="F106" s="233"/>
      <c r="G106" s="233"/>
      <c r="H106" s="233"/>
      <c r="I106" s="233"/>
      <c r="O106" s="233"/>
      <c r="P106" s="233"/>
      <c r="Z106" s="233"/>
      <c r="AA106" s="233"/>
      <c r="AB106" s="233"/>
      <c r="AG106" s="233"/>
      <c r="AH106" s="233"/>
      <c r="AI106" s="233"/>
    </row>
    <row r="107" spans="2:10" ht="33" customHeight="1">
      <c r="B107" s="753" t="s">
        <v>262</v>
      </c>
      <c r="C107" s="753"/>
      <c r="D107" s="753"/>
      <c r="E107" s="753"/>
      <c r="F107" s="753"/>
      <c r="G107" s="753"/>
      <c r="H107" s="753"/>
      <c r="I107" s="753"/>
      <c r="J107" s="753"/>
    </row>
  </sheetData>
  <sheetProtection/>
  <mergeCells count="28">
    <mergeCell ref="B84:C84"/>
    <mergeCell ref="B88:C88"/>
    <mergeCell ref="B64:C64"/>
    <mergeCell ref="B69:C69"/>
    <mergeCell ref="B83:C83"/>
    <mergeCell ref="B59:C59"/>
    <mergeCell ref="B62:C62"/>
    <mergeCell ref="B70:C70"/>
    <mergeCell ref="B107:J107"/>
    <mergeCell ref="D4:D5"/>
    <mergeCell ref="C4:C5"/>
    <mergeCell ref="B28:C28"/>
    <mergeCell ref="B73:C73"/>
    <mergeCell ref="B75:C75"/>
    <mergeCell ref="B78:C78"/>
    <mergeCell ref="B30:C30"/>
    <mergeCell ref="B37:C37"/>
    <mergeCell ref="B45:C45"/>
    <mergeCell ref="B2:E2"/>
    <mergeCell ref="B105:K105"/>
    <mergeCell ref="U2:Y2"/>
    <mergeCell ref="U4:Y4"/>
    <mergeCell ref="AG4:AM4"/>
    <mergeCell ref="Z4:AF4"/>
    <mergeCell ref="B47:C47"/>
    <mergeCell ref="B53:C53"/>
    <mergeCell ref="B57:C57"/>
    <mergeCell ref="B80:C80"/>
  </mergeCells>
  <printOptions/>
  <pageMargins left="0.16" right="0.17" top="0.17" bottom="0.17" header="0.18" footer="0.17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33"/>
  <sheetViews>
    <sheetView zoomScalePageLayoutView="0" workbookViewId="0" topLeftCell="A12">
      <selection activeCell="M28" sqref="M28"/>
    </sheetView>
  </sheetViews>
  <sheetFormatPr defaultColWidth="9.140625" defaultRowHeight="12.75"/>
  <cols>
    <col min="1" max="1" width="5.7109375" style="198" customWidth="1"/>
    <col min="2" max="2" width="26.57421875" style="4" customWidth="1"/>
    <col min="3" max="3" width="8.8515625" style="35" customWidth="1"/>
    <col min="4" max="4" width="11.28125" style="35" customWidth="1"/>
    <col min="5" max="5" width="13.57421875" style="35" customWidth="1"/>
    <col min="6" max="6" width="10.8515625" style="35" customWidth="1"/>
    <col min="7" max="7" width="12.7109375" style="35" customWidth="1"/>
    <col min="8" max="8" width="15.7109375" style="257" customWidth="1"/>
    <col min="9" max="9" width="16.00390625" style="448" customWidth="1"/>
    <col min="10" max="10" width="7.57421875" style="35" customWidth="1"/>
    <col min="11" max="11" width="8.421875" style="35" customWidth="1"/>
    <col min="12" max="12" width="11.57421875" style="35" customWidth="1"/>
    <col min="13" max="13" width="10.421875" style="35" customWidth="1"/>
    <col min="14" max="14" width="9.140625" style="35" customWidth="1"/>
    <col min="15" max="15" width="12.00390625" style="35" customWidth="1"/>
    <col min="16" max="16" width="12.7109375" style="257" customWidth="1"/>
    <col min="17" max="17" width="16.00390625" style="448" customWidth="1"/>
    <col min="18" max="19" width="10.7109375" style="35" customWidth="1"/>
    <col min="20" max="20" width="10.421875" style="35" customWidth="1"/>
    <col min="21" max="21" width="10.7109375" style="35" customWidth="1"/>
    <col min="22" max="22" width="11.421875" style="35" customWidth="1"/>
    <col min="23" max="23" width="11.57421875" style="257" customWidth="1"/>
    <col min="24" max="24" width="16.00390625" style="448" customWidth="1"/>
    <col min="25" max="25" width="9.00390625" style="35" customWidth="1"/>
    <col min="26" max="26" width="12.140625" style="35" customWidth="1"/>
    <col min="27" max="27" width="10.421875" style="35" customWidth="1"/>
    <col min="28" max="28" width="11.140625" style="35" customWidth="1"/>
    <col min="29" max="29" width="11.57421875" style="35" customWidth="1"/>
    <col min="30" max="30" width="13.00390625" style="257" customWidth="1"/>
    <col min="31" max="31" width="15.8515625" style="448" customWidth="1"/>
    <col min="32" max="32" width="8.57421875" style="35" customWidth="1"/>
    <col min="33" max="33" width="11.7109375" style="35" customWidth="1"/>
    <col min="34" max="34" width="10.57421875" style="35" customWidth="1"/>
    <col min="35" max="35" width="10.00390625" style="35" customWidth="1"/>
    <col min="36" max="36" width="10.7109375" style="35" customWidth="1"/>
    <col min="37" max="37" width="13.28125" style="257" customWidth="1"/>
    <col min="38" max="38" width="15.7109375" style="448" customWidth="1"/>
    <col min="39" max="16384" width="9.140625" style="35" customWidth="1"/>
  </cols>
  <sheetData>
    <row r="1" spans="1:38" s="4" customFormat="1" ht="24.75" customHeight="1">
      <c r="A1" s="26"/>
      <c r="B1" s="276" t="s">
        <v>176</v>
      </c>
      <c r="C1" s="27"/>
      <c r="D1" s="27"/>
      <c r="E1" s="27"/>
      <c r="F1" s="27"/>
      <c r="G1" s="27"/>
      <c r="H1" s="187"/>
      <c r="I1" s="441"/>
      <c r="J1" s="26"/>
      <c r="K1" s="26"/>
      <c r="L1" s="98" t="s">
        <v>272</v>
      </c>
      <c r="M1" s="27"/>
      <c r="N1" s="232"/>
      <c r="O1" s="138"/>
      <c r="P1" s="187"/>
      <c r="Q1" s="441"/>
      <c r="R1" s="17"/>
      <c r="S1" s="17"/>
      <c r="T1" s="17"/>
      <c r="U1" s="17"/>
      <c r="V1" s="138"/>
      <c r="W1" s="187"/>
      <c r="X1" s="441"/>
      <c r="Y1" s="138"/>
      <c r="Z1" s="138"/>
      <c r="AA1" s="138"/>
      <c r="AB1" s="138"/>
      <c r="AC1" s="138"/>
      <c r="AD1" s="187"/>
      <c r="AE1" s="441"/>
      <c r="AF1" s="138"/>
      <c r="AG1" s="138"/>
      <c r="AH1" s="138"/>
      <c r="AI1" s="138"/>
      <c r="AJ1" s="138"/>
      <c r="AK1" s="187"/>
      <c r="AL1" s="441"/>
    </row>
    <row r="2" spans="1:38" s="4" customFormat="1" ht="23.25" customHeight="1" thickBot="1">
      <c r="A2" s="26"/>
      <c r="B2" s="676" t="s">
        <v>454</v>
      </c>
      <c r="C2" s="676"/>
      <c r="D2" s="676"/>
      <c r="E2" s="676"/>
      <c r="F2" s="676"/>
      <c r="G2" s="676"/>
      <c r="H2" s="255"/>
      <c r="I2" s="442"/>
      <c r="L2" s="266" t="s">
        <v>10</v>
      </c>
      <c r="M2" s="106"/>
      <c r="N2" s="106"/>
      <c r="O2" s="106"/>
      <c r="P2" s="255"/>
      <c r="Q2" s="442"/>
      <c r="R2" s="106"/>
      <c r="S2" s="106"/>
      <c r="T2" s="106"/>
      <c r="U2" s="106"/>
      <c r="V2" s="106"/>
      <c r="W2" s="255"/>
      <c r="X2" s="442"/>
      <c r="Y2" s="6"/>
      <c r="Z2" s="6"/>
      <c r="AA2" s="6"/>
      <c r="AB2" s="6"/>
      <c r="AC2" s="6"/>
      <c r="AD2" s="255"/>
      <c r="AE2" s="442"/>
      <c r="AF2" s="6"/>
      <c r="AG2" s="6"/>
      <c r="AH2" s="6"/>
      <c r="AI2" s="6"/>
      <c r="AJ2" s="6"/>
      <c r="AK2" s="255"/>
      <c r="AL2" s="442"/>
    </row>
    <row r="3" spans="1:38" s="139" customFormat="1" ht="18.75" customHeight="1">
      <c r="A3" s="26"/>
      <c r="B3" s="267" t="s">
        <v>11</v>
      </c>
      <c r="C3" s="99"/>
      <c r="D3" s="99"/>
      <c r="E3" s="27"/>
      <c r="F3" s="99"/>
      <c r="G3" s="27"/>
      <c r="H3" s="187"/>
      <c r="I3" s="441"/>
      <c r="J3" s="27"/>
      <c r="K3" s="27"/>
      <c r="L3" s="138"/>
      <c r="M3" s="30"/>
      <c r="N3" s="27"/>
      <c r="O3" s="27"/>
      <c r="P3" s="187"/>
      <c r="Q3" s="441"/>
      <c r="R3" s="138"/>
      <c r="S3" s="138"/>
      <c r="T3" s="138"/>
      <c r="U3" s="138"/>
      <c r="V3" s="30"/>
      <c r="W3" s="187"/>
      <c r="X3" s="441"/>
      <c r="Y3" s="99"/>
      <c r="Z3" s="99"/>
      <c r="AA3" s="99"/>
      <c r="AB3" s="99"/>
      <c r="AC3" s="27"/>
      <c r="AD3" s="187"/>
      <c r="AE3" s="441"/>
      <c r="AF3" s="99"/>
      <c r="AG3" s="99"/>
      <c r="AH3" s="99"/>
      <c r="AI3" s="99"/>
      <c r="AJ3" s="27"/>
      <c r="AK3" s="187"/>
      <c r="AL3" s="441"/>
    </row>
    <row r="4" spans="1:38" s="139" customFormat="1" ht="14.25">
      <c r="A4" s="26"/>
      <c r="B4" s="137"/>
      <c r="C4" s="99"/>
      <c r="D4" s="99"/>
      <c r="E4" s="27"/>
      <c r="F4" s="99"/>
      <c r="G4" s="137"/>
      <c r="H4" s="256"/>
      <c r="I4" s="443"/>
      <c r="J4" s="27"/>
      <c r="K4" s="27"/>
      <c r="L4" s="27"/>
      <c r="M4" s="36" t="s">
        <v>127</v>
      </c>
      <c r="N4" s="27"/>
      <c r="O4" s="27"/>
      <c r="P4" s="256"/>
      <c r="Q4" s="443"/>
      <c r="R4" s="30"/>
      <c r="S4" s="30"/>
      <c r="T4" s="30"/>
      <c r="U4" s="30"/>
      <c r="V4" s="138"/>
      <c r="W4" s="256"/>
      <c r="X4" s="443"/>
      <c r="Y4" s="99"/>
      <c r="Z4" s="99"/>
      <c r="AA4" s="99"/>
      <c r="AB4" s="99"/>
      <c r="AC4" s="137"/>
      <c r="AD4" s="256"/>
      <c r="AE4" s="443"/>
      <c r="AF4" s="99"/>
      <c r="AG4" s="99"/>
      <c r="AH4" s="99"/>
      <c r="AI4" s="99"/>
      <c r="AJ4" s="137"/>
      <c r="AK4" s="256"/>
      <c r="AL4" s="443"/>
    </row>
    <row r="5" spans="1:38" s="258" customFormat="1" ht="21.75" customHeight="1">
      <c r="A5" s="194"/>
      <c r="B5" s="259"/>
      <c r="C5" s="189" t="s">
        <v>253</v>
      </c>
      <c r="D5" s="190"/>
      <c r="E5" s="190"/>
      <c r="F5" s="190"/>
      <c r="G5" s="190"/>
      <c r="H5" s="271"/>
      <c r="I5" s="444"/>
      <c r="J5" s="740" t="s">
        <v>248</v>
      </c>
      <c r="K5" s="741"/>
      <c r="L5" s="741"/>
      <c r="M5" s="741"/>
      <c r="N5" s="741"/>
      <c r="O5" s="742"/>
      <c r="P5" s="271"/>
      <c r="Q5" s="444"/>
      <c r="R5" s="273" t="s">
        <v>128</v>
      </c>
      <c r="S5" s="274"/>
      <c r="T5" s="274"/>
      <c r="U5" s="274"/>
      <c r="V5" s="275"/>
      <c r="W5" s="271"/>
      <c r="X5" s="444"/>
      <c r="Y5" s="273" t="s">
        <v>263</v>
      </c>
      <c r="Z5" s="274"/>
      <c r="AA5" s="274"/>
      <c r="AB5" s="274"/>
      <c r="AC5" s="275"/>
      <c r="AD5" s="274"/>
      <c r="AE5" s="444"/>
      <c r="AF5" s="740" t="s">
        <v>325</v>
      </c>
      <c r="AG5" s="741"/>
      <c r="AH5" s="741"/>
      <c r="AI5" s="741"/>
      <c r="AJ5" s="741"/>
      <c r="AK5" s="742"/>
      <c r="AL5" s="444"/>
    </row>
    <row r="6" spans="1:38" ht="127.5">
      <c r="A6" s="195"/>
      <c r="B6" s="196"/>
      <c r="C6" s="50" t="s">
        <v>123</v>
      </c>
      <c r="D6" s="440" t="s">
        <v>141</v>
      </c>
      <c r="E6" s="51" t="s">
        <v>637</v>
      </c>
      <c r="F6" s="51" t="s">
        <v>638</v>
      </c>
      <c r="G6" s="50" t="s">
        <v>143</v>
      </c>
      <c r="H6" s="254" t="s">
        <v>162</v>
      </c>
      <c r="I6" s="445" t="s">
        <v>326</v>
      </c>
      <c r="J6" s="438" t="s">
        <v>123</v>
      </c>
      <c r="K6" s="51" t="s">
        <v>316</v>
      </c>
      <c r="L6" s="440" t="s">
        <v>141</v>
      </c>
      <c r="M6" s="51" t="s">
        <v>637</v>
      </c>
      <c r="N6" s="51" t="s">
        <v>638</v>
      </c>
      <c r="O6" s="50" t="s">
        <v>143</v>
      </c>
      <c r="P6" s="254" t="s">
        <v>162</v>
      </c>
      <c r="Q6" s="445" t="s">
        <v>326</v>
      </c>
      <c r="R6" s="51" t="s">
        <v>159</v>
      </c>
      <c r="S6" s="440" t="s">
        <v>141</v>
      </c>
      <c r="T6" s="51" t="s">
        <v>637</v>
      </c>
      <c r="U6" s="51" t="s">
        <v>638</v>
      </c>
      <c r="V6" s="51" t="s">
        <v>160</v>
      </c>
      <c r="W6" s="254" t="s">
        <v>162</v>
      </c>
      <c r="X6" s="445" t="s">
        <v>326</v>
      </c>
      <c r="Y6" s="51" t="s">
        <v>123</v>
      </c>
      <c r="Z6" s="440" t="s">
        <v>141</v>
      </c>
      <c r="AA6" s="51" t="s">
        <v>637</v>
      </c>
      <c r="AB6" s="51" t="s">
        <v>638</v>
      </c>
      <c r="AC6" s="51" t="s">
        <v>143</v>
      </c>
      <c r="AD6" s="254" t="s">
        <v>162</v>
      </c>
      <c r="AE6" s="445" t="s">
        <v>326</v>
      </c>
      <c r="AF6" s="51" t="s">
        <v>123</v>
      </c>
      <c r="AG6" s="440" t="s">
        <v>141</v>
      </c>
      <c r="AH6" s="51" t="s">
        <v>637</v>
      </c>
      <c r="AI6" s="51" t="s">
        <v>638</v>
      </c>
      <c r="AJ6" s="51" t="s">
        <v>143</v>
      </c>
      <c r="AK6" s="254" t="s">
        <v>162</v>
      </c>
      <c r="AL6" s="445" t="s">
        <v>326</v>
      </c>
    </row>
    <row r="7" spans="1:38" s="11" customFormat="1" ht="12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446">
        <v>8</v>
      </c>
      <c r="J7" s="51">
        <v>9</v>
      </c>
      <c r="K7" s="51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446">
        <v>8</v>
      </c>
      <c r="R7" s="51">
        <v>16</v>
      </c>
      <c r="S7" s="51">
        <v>17</v>
      </c>
      <c r="T7" s="51">
        <v>18</v>
      </c>
      <c r="U7" s="51">
        <v>19</v>
      </c>
      <c r="V7" s="51">
        <v>20</v>
      </c>
      <c r="W7" s="51">
        <v>21</v>
      </c>
      <c r="X7" s="446">
        <v>8</v>
      </c>
      <c r="Y7" s="51">
        <v>22</v>
      </c>
      <c r="Z7" s="51">
        <v>23</v>
      </c>
      <c r="AA7" s="51">
        <v>24</v>
      </c>
      <c r="AB7" s="51">
        <v>25</v>
      </c>
      <c r="AC7" s="51">
        <v>26</v>
      </c>
      <c r="AD7" s="51">
        <v>27</v>
      </c>
      <c r="AE7" s="446">
        <v>8</v>
      </c>
      <c r="AF7" s="51">
        <v>28</v>
      </c>
      <c r="AG7" s="51">
        <v>29</v>
      </c>
      <c r="AH7" s="51">
        <v>30</v>
      </c>
      <c r="AI7" s="51">
        <v>31</v>
      </c>
      <c r="AJ7" s="51">
        <v>32</v>
      </c>
      <c r="AK7" s="51">
        <v>33</v>
      </c>
      <c r="AL7" s="446">
        <v>8</v>
      </c>
    </row>
    <row r="8" spans="1:38" ht="78.75" customHeight="1">
      <c r="A8" s="178">
        <v>1</v>
      </c>
      <c r="B8" s="179" t="s">
        <v>228</v>
      </c>
      <c r="C8" s="555">
        <f>'18հաստիքացուցակ պետ-ծառ'!G13</f>
        <v>3</v>
      </c>
      <c r="D8" s="173">
        <f>'18հաստիքացուցակ պետ-ծառ'!J13</f>
        <v>2121600</v>
      </c>
      <c r="E8" s="173">
        <f>'18հաստիքացուցակ պետ-ծառ'!K13</f>
        <v>254592</v>
      </c>
      <c r="F8" s="173">
        <f>'18հաստիքացուցակ պետ-ծառ'!L13</f>
        <v>99840</v>
      </c>
      <c r="G8" s="180">
        <f>D8+F8+E8</f>
        <v>2476032</v>
      </c>
      <c r="H8" s="186">
        <f>G8*13</f>
        <v>32188416</v>
      </c>
      <c r="I8" s="447">
        <f>D8*13</f>
        <v>27580800</v>
      </c>
      <c r="J8" s="555">
        <f>'18հաստիքացուցակ պետ-ծառ'!N13</f>
        <v>3</v>
      </c>
      <c r="K8" s="555">
        <f>'18հաստիքացուցակ պետ-ծառ'!N10</f>
        <v>1</v>
      </c>
      <c r="L8" s="555">
        <f>'18հաստիքացուցակ պետ-ծառ'!Q13</f>
        <v>2121600</v>
      </c>
      <c r="M8" s="555">
        <f>'18հաստիքացուցակ պետ-ծառ'!R13</f>
        <v>254592</v>
      </c>
      <c r="N8" s="555">
        <f>'18հաստիքացուցակ պետ-ծառ'!S13</f>
        <v>99840</v>
      </c>
      <c r="O8" s="180">
        <f>L8+M8+N8</f>
        <v>2476032</v>
      </c>
      <c r="P8" s="186">
        <f>O8*13</f>
        <v>32188416</v>
      </c>
      <c r="Q8" s="447">
        <f>L8*13</f>
        <v>27580800</v>
      </c>
      <c r="R8" s="180">
        <f aca="true" t="shared" si="0" ref="R8:R20">C8-J8</f>
        <v>0</v>
      </c>
      <c r="S8" s="180">
        <f aca="true" t="shared" si="1" ref="S8:S20">D8-L8</f>
        <v>0</v>
      </c>
      <c r="T8" s="180">
        <f aca="true" t="shared" si="2" ref="T8:T20">E8-M8</f>
        <v>0</v>
      </c>
      <c r="U8" s="180">
        <f aca="true" t="shared" si="3" ref="U8:U20">F8-N8</f>
        <v>0</v>
      </c>
      <c r="V8" s="180">
        <f aca="true" t="shared" si="4" ref="V8:V20">G8-O8</f>
        <v>0</v>
      </c>
      <c r="W8" s="186">
        <f>+H8-P8</f>
        <v>0</v>
      </c>
      <c r="X8" s="447">
        <f>+I8-Q8</f>
        <v>0</v>
      </c>
      <c r="Y8" s="555">
        <f>'18հաստիքացուցակ պետ-ծառ'!Z13</f>
        <v>3</v>
      </c>
      <c r="Z8" s="555">
        <f>'18հաստիքացուցակ պետ-ծառ'!AC13</f>
        <v>2121600</v>
      </c>
      <c r="AA8" s="555">
        <f>'18հաստիքացուցակ պետ-ծառ'!AD13</f>
        <v>254592</v>
      </c>
      <c r="AB8" s="555">
        <f>'18հաստիքացուցակ պետ-ծառ'!AE13</f>
        <v>99840</v>
      </c>
      <c r="AC8" s="180">
        <f>Z8+AA8+AB8</f>
        <v>2476032</v>
      </c>
      <c r="AD8" s="186">
        <f>AC8*13</f>
        <v>32188416</v>
      </c>
      <c r="AE8" s="447">
        <f>Z8*13</f>
        <v>27580800</v>
      </c>
      <c r="AF8" s="555">
        <f>'18հաստիքացուցակ պետ-ծառ'!AG13</f>
        <v>3</v>
      </c>
      <c r="AG8" s="555">
        <f>'18հաստիքացուցակ պետ-ծառ'!AJ13</f>
        <v>2121600</v>
      </c>
      <c r="AH8" s="555">
        <f>'18հաստիքացուցակ պետ-ծառ'!AK13</f>
        <v>254592</v>
      </c>
      <c r="AI8" s="555">
        <f>'18հաստիքացուցակ պետ-ծառ'!AL13</f>
        <v>99840</v>
      </c>
      <c r="AJ8" s="180">
        <f>AG8+AH8+AI8</f>
        <v>2476032</v>
      </c>
      <c r="AK8" s="186">
        <f>AJ8*13</f>
        <v>32188416</v>
      </c>
      <c r="AL8" s="447">
        <f>AG8*13</f>
        <v>27580800</v>
      </c>
    </row>
    <row r="9" spans="1:38" ht="18" customHeight="1">
      <c r="A9" s="178">
        <v>2</v>
      </c>
      <c r="B9" s="179" t="s">
        <v>142</v>
      </c>
      <c r="C9" s="173"/>
      <c r="D9" s="197"/>
      <c r="E9" s="197"/>
      <c r="F9" s="197"/>
      <c r="G9" s="180">
        <f aca="true" t="shared" si="5" ref="G9:G20">D9+F9+E9</f>
        <v>0</v>
      </c>
      <c r="H9" s="186">
        <f aca="true" t="shared" si="6" ref="H9:H19">G9*13</f>
        <v>0</v>
      </c>
      <c r="I9" s="447">
        <f aca="true" t="shared" si="7" ref="I9:I19">D9*13</f>
        <v>0</v>
      </c>
      <c r="J9" s="173"/>
      <c r="K9" s="173"/>
      <c r="L9" s="197"/>
      <c r="M9" s="197"/>
      <c r="N9" s="197"/>
      <c r="O9" s="180">
        <f aca="true" t="shared" si="8" ref="O9:O17">L9+M9+N9</f>
        <v>0</v>
      </c>
      <c r="P9" s="186">
        <f aca="true" t="shared" si="9" ref="P9:P17">O9*13</f>
        <v>0</v>
      </c>
      <c r="Q9" s="447">
        <f aca="true" t="shared" si="10" ref="Q9:Q17">L9*13</f>
        <v>0</v>
      </c>
      <c r="R9" s="180">
        <f t="shared" si="0"/>
        <v>0</v>
      </c>
      <c r="S9" s="180">
        <f t="shared" si="1"/>
        <v>0</v>
      </c>
      <c r="T9" s="180">
        <f t="shared" si="2"/>
        <v>0</v>
      </c>
      <c r="U9" s="180">
        <f t="shared" si="3"/>
        <v>0</v>
      </c>
      <c r="V9" s="180">
        <f t="shared" si="4"/>
        <v>0</v>
      </c>
      <c r="W9" s="186">
        <f aca="true" t="shared" si="11" ref="W9:W20">+H9-P9</f>
        <v>0</v>
      </c>
      <c r="X9" s="447">
        <f aca="true" t="shared" si="12" ref="X9:X20">+I9-Q9</f>
        <v>0</v>
      </c>
      <c r="Y9" s="173"/>
      <c r="Z9" s="173"/>
      <c r="AA9" s="173"/>
      <c r="AB9" s="173"/>
      <c r="AC9" s="180">
        <f aca="true" t="shared" si="13" ref="AC9:AC20">Z9+AA9+AB9</f>
        <v>0</v>
      </c>
      <c r="AD9" s="186">
        <f aca="true" t="shared" si="14" ref="AD9:AD17">AC9*13</f>
        <v>0</v>
      </c>
      <c r="AE9" s="447">
        <f aca="true" t="shared" si="15" ref="AE9:AE19">Z9*13</f>
        <v>0</v>
      </c>
      <c r="AF9" s="173"/>
      <c r="AG9" s="173"/>
      <c r="AH9" s="173"/>
      <c r="AI9" s="173"/>
      <c r="AJ9" s="180">
        <f aca="true" t="shared" si="16" ref="AJ9:AJ20">AG9+AH9+AI9</f>
        <v>0</v>
      </c>
      <c r="AK9" s="186">
        <f aca="true" t="shared" si="17" ref="AK9:AK17">AJ9*13</f>
        <v>0</v>
      </c>
      <c r="AL9" s="447">
        <f aca="true" t="shared" si="18" ref="AL9:AL19">AG9*13</f>
        <v>0</v>
      </c>
    </row>
    <row r="10" spans="1:38" ht="21" customHeight="1">
      <c r="A10" s="178">
        <v>3</v>
      </c>
      <c r="B10" s="179" t="s">
        <v>144</v>
      </c>
      <c r="C10" s="173"/>
      <c r="D10" s="197"/>
      <c r="E10" s="197"/>
      <c r="F10" s="197"/>
      <c r="G10" s="180">
        <f t="shared" si="5"/>
        <v>0</v>
      </c>
      <c r="H10" s="186">
        <f t="shared" si="6"/>
        <v>0</v>
      </c>
      <c r="I10" s="447">
        <f t="shared" si="7"/>
        <v>0</v>
      </c>
      <c r="J10" s="173"/>
      <c r="K10" s="173"/>
      <c r="L10" s="197"/>
      <c r="M10" s="197"/>
      <c r="N10" s="197"/>
      <c r="O10" s="180">
        <f t="shared" si="8"/>
        <v>0</v>
      </c>
      <c r="P10" s="186">
        <f t="shared" si="9"/>
        <v>0</v>
      </c>
      <c r="Q10" s="447">
        <f t="shared" si="10"/>
        <v>0</v>
      </c>
      <c r="R10" s="180">
        <f t="shared" si="0"/>
        <v>0</v>
      </c>
      <c r="S10" s="180">
        <f t="shared" si="1"/>
        <v>0</v>
      </c>
      <c r="T10" s="180">
        <f t="shared" si="2"/>
        <v>0</v>
      </c>
      <c r="U10" s="180">
        <f t="shared" si="3"/>
        <v>0</v>
      </c>
      <c r="V10" s="180">
        <f t="shared" si="4"/>
        <v>0</v>
      </c>
      <c r="W10" s="186">
        <f t="shared" si="11"/>
        <v>0</v>
      </c>
      <c r="X10" s="447">
        <f t="shared" si="12"/>
        <v>0</v>
      </c>
      <c r="Y10" s="173"/>
      <c r="Z10" s="173"/>
      <c r="AA10" s="173"/>
      <c r="AB10" s="173"/>
      <c r="AC10" s="180">
        <f t="shared" si="13"/>
        <v>0</v>
      </c>
      <c r="AD10" s="186">
        <f t="shared" si="14"/>
        <v>0</v>
      </c>
      <c r="AE10" s="447">
        <f t="shared" si="15"/>
        <v>0</v>
      </c>
      <c r="AF10" s="173"/>
      <c r="AG10" s="173"/>
      <c r="AH10" s="173"/>
      <c r="AI10" s="173"/>
      <c r="AJ10" s="180">
        <f t="shared" si="16"/>
        <v>0</v>
      </c>
      <c r="AK10" s="186">
        <f t="shared" si="17"/>
        <v>0</v>
      </c>
      <c r="AL10" s="447">
        <f t="shared" si="18"/>
        <v>0</v>
      </c>
    </row>
    <row r="11" spans="1:38" ht="44.25" customHeight="1">
      <c r="A11" s="178">
        <v>4</v>
      </c>
      <c r="B11" s="179" t="s">
        <v>315</v>
      </c>
      <c r="C11" s="173"/>
      <c r="D11" s="197"/>
      <c r="E11" s="197"/>
      <c r="F11" s="197"/>
      <c r="G11" s="180">
        <f t="shared" si="5"/>
        <v>0</v>
      </c>
      <c r="H11" s="186">
        <f t="shared" si="6"/>
        <v>0</v>
      </c>
      <c r="I11" s="447">
        <f t="shared" si="7"/>
        <v>0</v>
      </c>
      <c r="J11" s="173"/>
      <c r="K11" s="173"/>
      <c r="L11" s="197"/>
      <c r="M11" s="197"/>
      <c r="N11" s="197"/>
      <c r="O11" s="180">
        <f t="shared" si="8"/>
        <v>0</v>
      </c>
      <c r="P11" s="186">
        <f t="shared" si="9"/>
        <v>0</v>
      </c>
      <c r="Q11" s="447">
        <f t="shared" si="10"/>
        <v>0</v>
      </c>
      <c r="R11" s="180">
        <f t="shared" si="0"/>
        <v>0</v>
      </c>
      <c r="S11" s="180">
        <f t="shared" si="1"/>
        <v>0</v>
      </c>
      <c r="T11" s="180">
        <f t="shared" si="2"/>
        <v>0</v>
      </c>
      <c r="U11" s="180">
        <f t="shared" si="3"/>
        <v>0</v>
      </c>
      <c r="V11" s="180">
        <f t="shared" si="4"/>
        <v>0</v>
      </c>
      <c r="W11" s="186">
        <f t="shared" si="11"/>
        <v>0</v>
      </c>
      <c r="X11" s="447">
        <f t="shared" si="12"/>
        <v>0</v>
      </c>
      <c r="Y11" s="173"/>
      <c r="Z11" s="173"/>
      <c r="AA11" s="173"/>
      <c r="AB11" s="173"/>
      <c r="AC11" s="180">
        <f t="shared" si="13"/>
        <v>0</v>
      </c>
      <c r="AD11" s="186">
        <f t="shared" si="14"/>
        <v>0</v>
      </c>
      <c r="AE11" s="447">
        <f t="shared" si="15"/>
        <v>0</v>
      </c>
      <c r="AF11" s="173"/>
      <c r="AG11" s="173"/>
      <c r="AH11" s="173"/>
      <c r="AI11" s="173"/>
      <c r="AJ11" s="180">
        <f t="shared" si="16"/>
        <v>0</v>
      </c>
      <c r="AK11" s="186">
        <f t="shared" si="17"/>
        <v>0</v>
      </c>
      <c r="AL11" s="447">
        <f t="shared" si="18"/>
        <v>0</v>
      </c>
    </row>
    <row r="12" spans="1:38" ht="57" customHeight="1">
      <c r="A12" s="178">
        <v>5</v>
      </c>
      <c r="B12" s="179" t="s">
        <v>266</v>
      </c>
      <c r="C12" s="179"/>
      <c r="D12" s="197"/>
      <c r="E12" s="197"/>
      <c r="F12" s="197"/>
      <c r="G12" s="180">
        <f t="shared" si="5"/>
        <v>0</v>
      </c>
      <c r="H12" s="186">
        <f t="shared" si="6"/>
        <v>0</v>
      </c>
      <c r="I12" s="447">
        <f t="shared" si="7"/>
        <v>0</v>
      </c>
      <c r="J12" s="173"/>
      <c r="K12" s="173"/>
      <c r="L12" s="197"/>
      <c r="M12" s="197"/>
      <c r="N12" s="197"/>
      <c r="O12" s="180">
        <f t="shared" si="8"/>
        <v>0</v>
      </c>
      <c r="P12" s="186">
        <f t="shared" si="9"/>
        <v>0</v>
      </c>
      <c r="Q12" s="447">
        <f t="shared" si="10"/>
        <v>0</v>
      </c>
      <c r="R12" s="180">
        <f t="shared" si="0"/>
        <v>0</v>
      </c>
      <c r="S12" s="180">
        <f t="shared" si="1"/>
        <v>0</v>
      </c>
      <c r="T12" s="180">
        <f t="shared" si="2"/>
        <v>0</v>
      </c>
      <c r="U12" s="180">
        <f t="shared" si="3"/>
        <v>0</v>
      </c>
      <c r="V12" s="180">
        <f t="shared" si="4"/>
        <v>0</v>
      </c>
      <c r="W12" s="186">
        <f t="shared" si="11"/>
        <v>0</v>
      </c>
      <c r="X12" s="447">
        <f t="shared" si="12"/>
        <v>0</v>
      </c>
      <c r="Y12" s="173"/>
      <c r="Z12" s="173"/>
      <c r="AA12" s="173"/>
      <c r="AB12" s="173"/>
      <c r="AC12" s="180">
        <f t="shared" si="13"/>
        <v>0</v>
      </c>
      <c r="AD12" s="186">
        <f t="shared" si="14"/>
        <v>0</v>
      </c>
      <c r="AE12" s="447">
        <f t="shared" si="15"/>
        <v>0</v>
      </c>
      <c r="AF12" s="173"/>
      <c r="AG12" s="173"/>
      <c r="AH12" s="173"/>
      <c r="AI12" s="173"/>
      <c r="AJ12" s="180">
        <f t="shared" si="16"/>
        <v>0</v>
      </c>
      <c r="AK12" s="186">
        <f t="shared" si="17"/>
        <v>0</v>
      </c>
      <c r="AL12" s="447">
        <f t="shared" si="18"/>
        <v>0</v>
      </c>
    </row>
    <row r="13" spans="1:38" ht="51" customHeight="1">
      <c r="A13" s="178">
        <v>6</v>
      </c>
      <c r="B13" s="179" t="s">
        <v>175</v>
      </c>
      <c r="C13" s="555">
        <f>'18հաստիքացուցակ պետ-ծառ'!G90</f>
        <v>37</v>
      </c>
      <c r="D13" s="565">
        <f>'18հաստիքացուցակ պետ-ծառ'!J90</f>
        <v>12420928</v>
      </c>
      <c r="E13" s="565">
        <f>'18հաստիքացուցակ պետ-ծառ'!K90</f>
        <v>1098938.88</v>
      </c>
      <c r="F13" s="565">
        <f>'18հաստիքացուցակ պետ-ծառ'!L90</f>
        <v>195395.2</v>
      </c>
      <c r="G13" s="180">
        <f t="shared" si="5"/>
        <v>13715262.079999998</v>
      </c>
      <c r="H13" s="186">
        <f t="shared" si="6"/>
        <v>178298407.03999996</v>
      </c>
      <c r="I13" s="447">
        <f t="shared" si="7"/>
        <v>161472064</v>
      </c>
      <c r="J13" s="555">
        <f>'18հաստիքացուցակ պետ-ծառ'!N90</f>
        <v>37</v>
      </c>
      <c r="K13" s="555">
        <v>16</v>
      </c>
      <c r="L13" s="565">
        <f>'18հաստիքացուցակ պետ-ծառ'!Q90</f>
        <v>12296128</v>
      </c>
      <c r="M13" s="565">
        <f>'18հաստիքացուցակ պետ-ծառ'!R90</f>
        <v>1086958.0799999998</v>
      </c>
      <c r="N13" s="565">
        <f>'18հաստիքացուցակ պետ-ծառ'!S90</f>
        <v>195395.2</v>
      </c>
      <c r="O13" s="180">
        <f t="shared" si="8"/>
        <v>13578481.28</v>
      </c>
      <c r="P13" s="186">
        <f>O13*13</f>
        <v>176520256.64</v>
      </c>
      <c r="Q13" s="447">
        <f>L13*13</f>
        <v>159849664</v>
      </c>
      <c r="R13" s="180">
        <f t="shared" si="0"/>
        <v>0</v>
      </c>
      <c r="S13" s="180">
        <f>D13-L13</f>
        <v>124800</v>
      </c>
      <c r="T13" s="180">
        <f t="shared" si="2"/>
        <v>11980.800000000047</v>
      </c>
      <c r="U13" s="180">
        <f t="shared" si="3"/>
        <v>0</v>
      </c>
      <c r="V13" s="180">
        <f t="shared" si="4"/>
        <v>136780.79999999888</v>
      </c>
      <c r="W13" s="186">
        <f t="shared" si="11"/>
        <v>1778150.3999999762</v>
      </c>
      <c r="X13" s="447">
        <f t="shared" si="12"/>
        <v>1622400</v>
      </c>
      <c r="Y13" s="555">
        <f>'18հաստիքացուցակ պետ-ծառ'!Z90</f>
        <v>37</v>
      </c>
      <c r="Z13" s="555">
        <f>'18հաստիքացուցակ պետ-ծառ'!AC90</f>
        <v>12690496</v>
      </c>
      <c r="AA13" s="555">
        <f>'18հաստիքացուցակ պետ-ծառ'!AD90</f>
        <v>1160939.5199999998</v>
      </c>
      <c r="AB13" s="555">
        <f>'18հաստիքացուցակ պետ-ծառ'!AE90</f>
        <v>199888.00000000003</v>
      </c>
      <c r="AC13" s="180">
        <f t="shared" si="13"/>
        <v>14051323.52</v>
      </c>
      <c r="AD13" s="186">
        <f t="shared" si="14"/>
        <v>182667205.76</v>
      </c>
      <c r="AE13" s="447">
        <f t="shared" si="15"/>
        <v>164976448</v>
      </c>
      <c r="AF13" s="555">
        <f>'18հաստիքացուցակ պետ-ծառ'!AG90</f>
        <v>37</v>
      </c>
      <c r="AG13" s="555">
        <f>'18հաստիքացուցակ պետ-ծառ'!AJ90</f>
        <v>12859392</v>
      </c>
      <c r="AH13" s="555">
        <f>'18հաստիքացուցակ պետ-ծառ'!AK90</f>
        <v>1176614.3999999997</v>
      </c>
      <c r="AI13" s="555">
        <f>'18հաստիքացուցակ պետ-ծառ'!AL90</f>
        <v>201635.2</v>
      </c>
      <c r="AJ13" s="180">
        <f t="shared" si="16"/>
        <v>14237641.6</v>
      </c>
      <c r="AK13" s="186">
        <f t="shared" si="17"/>
        <v>185089340.79999998</v>
      </c>
      <c r="AL13" s="447">
        <f t="shared" si="18"/>
        <v>167172096</v>
      </c>
    </row>
    <row r="14" spans="1:38" ht="29.25" customHeight="1">
      <c r="A14" s="178">
        <v>7</v>
      </c>
      <c r="B14" s="179" t="s">
        <v>140</v>
      </c>
      <c r="C14" s="173"/>
      <c r="D14" s="197"/>
      <c r="E14" s="197"/>
      <c r="F14" s="197"/>
      <c r="G14" s="180">
        <f t="shared" si="5"/>
        <v>0</v>
      </c>
      <c r="H14" s="186">
        <f t="shared" si="6"/>
        <v>0</v>
      </c>
      <c r="I14" s="447">
        <f t="shared" si="7"/>
        <v>0</v>
      </c>
      <c r="J14" s="173"/>
      <c r="K14" s="173"/>
      <c r="L14" s="197"/>
      <c r="M14" s="197"/>
      <c r="N14" s="197"/>
      <c r="O14" s="180">
        <f t="shared" si="8"/>
        <v>0</v>
      </c>
      <c r="P14" s="186">
        <f t="shared" si="9"/>
        <v>0</v>
      </c>
      <c r="Q14" s="447">
        <f t="shared" si="10"/>
        <v>0</v>
      </c>
      <c r="R14" s="180">
        <f t="shared" si="0"/>
        <v>0</v>
      </c>
      <c r="S14" s="180">
        <f>D14-L14</f>
        <v>0</v>
      </c>
      <c r="T14" s="180">
        <f t="shared" si="2"/>
        <v>0</v>
      </c>
      <c r="U14" s="180">
        <f t="shared" si="3"/>
        <v>0</v>
      </c>
      <c r="V14" s="180">
        <f t="shared" si="4"/>
        <v>0</v>
      </c>
      <c r="W14" s="186">
        <f t="shared" si="11"/>
        <v>0</v>
      </c>
      <c r="X14" s="447">
        <f t="shared" si="12"/>
        <v>0</v>
      </c>
      <c r="Y14" s="173"/>
      <c r="Z14" s="173"/>
      <c r="AA14" s="173"/>
      <c r="AB14" s="173"/>
      <c r="AC14" s="180">
        <f t="shared" si="13"/>
        <v>0</v>
      </c>
      <c r="AD14" s="186">
        <f t="shared" si="14"/>
        <v>0</v>
      </c>
      <c r="AE14" s="447">
        <f t="shared" si="15"/>
        <v>0</v>
      </c>
      <c r="AF14" s="173"/>
      <c r="AG14" s="173"/>
      <c r="AH14" s="173"/>
      <c r="AI14" s="173"/>
      <c r="AJ14" s="180">
        <f t="shared" si="16"/>
        <v>0</v>
      </c>
      <c r="AK14" s="186">
        <f t="shared" si="17"/>
        <v>0</v>
      </c>
      <c r="AL14" s="447">
        <f t="shared" si="18"/>
        <v>0</v>
      </c>
    </row>
    <row r="15" spans="1:38" ht="20.25" customHeight="1">
      <c r="A15" s="178">
        <v>8</v>
      </c>
      <c r="B15" s="179" t="s">
        <v>146</v>
      </c>
      <c r="C15" s="173"/>
      <c r="D15" s="197"/>
      <c r="E15" s="197"/>
      <c r="F15" s="197"/>
      <c r="G15" s="180">
        <f t="shared" si="5"/>
        <v>0</v>
      </c>
      <c r="H15" s="186">
        <f t="shared" si="6"/>
        <v>0</v>
      </c>
      <c r="I15" s="447">
        <f t="shared" si="7"/>
        <v>0</v>
      </c>
      <c r="J15" s="173"/>
      <c r="K15" s="173"/>
      <c r="L15" s="197"/>
      <c r="M15" s="197"/>
      <c r="N15" s="197"/>
      <c r="O15" s="180">
        <f t="shared" si="8"/>
        <v>0</v>
      </c>
      <c r="P15" s="186">
        <f t="shared" si="9"/>
        <v>0</v>
      </c>
      <c r="Q15" s="447">
        <f t="shared" si="10"/>
        <v>0</v>
      </c>
      <c r="R15" s="180">
        <f t="shared" si="0"/>
        <v>0</v>
      </c>
      <c r="S15" s="180">
        <f t="shared" si="1"/>
        <v>0</v>
      </c>
      <c r="T15" s="180">
        <f t="shared" si="2"/>
        <v>0</v>
      </c>
      <c r="U15" s="180">
        <f t="shared" si="3"/>
        <v>0</v>
      </c>
      <c r="V15" s="180">
        <f t="shared" si="4"/>
        <v>0</v>
      </c>
      <c r="W15" s="186">
        <f t="shared" si="11"/>
        <v>0</v>
      </c>
      <c r="X15" s="447">
        <f t="shared" si="12"/>
        <v>0</v>
      </c>
      <c r="Y15" s="173"/>
      <c r="Z15" s="173"/>
      <c r="AA15" s="173"/>
      <c r="AB15" s="173"/>
      <c r="AC15" s="180">
        <f t="shared" si="13"/>
        <v>0</v>
      </c>
      <c r="AD15" s="186">
        <f t="shared" si="14"/>
        <v>0</v>
      </c>
      <c r="AE15" s="447">
        <f t="shared" si="15"/>
        <v>0</v>
      </c>
      <c r="AF15" s="173"/>
      <c r="AG15" s="173"/>
      <c r="AH15" s="173"/>
      <c r="AI15" s="173"/>
      <c r="AJ15" s="180">
        <f t="shared" si="16"/>
        <v>0</v>
      </c>
      <c r="AK15" s="186">
        <f t="shared" si="17"/>
        <v>0</v>
      </c>
      <c r="AL15" s="447">
        <f t="shared" si="18"/>
        <v>0</v>
      </c>
    </row>
    <row r="16" spans="1:38" ht="20.25" customHeight="1">
      <c r="A16" s="178">
        <v>9</v>
      </c>
      <c r="B16" s="179" t="s">
        <v>147</v>
      </c>
      <c r="C16" s="173"/>
      <c r="D16" s="197"/>
      <c r="E16" s="197"/>
      <c r="F16" s="197"/>
      <c r="G16" s="180">
        <f t="shared" si="5"/>
        <v>0</v>
      </c>
      <c r="H16" s="186">
        <f t="shared" si="6"/>
        <v>0</v>
      </c>
      <c r="I16" s="447">
        <f t="shared" si="7"/>
        <v>0</v>
      </c>
      <c r="J16" s="173"/>
      <c r="K16" s="173"/>
      <c r="L16" s="197"/>
      <c r="M16" s="197"/>
      <c r="N16" s="197"/>
      <c r="O16" s="180">
        <f t="shared" si="8"/>
        <v>0</v>
      </c>
      <c r="P16" s="186">
        <f t="shared" si="9"/>
        <v>0</v>
      </c>
      <c r="Q16" s="447">
        <f t="shared" si="10"/>
        <v>0</v>
      </c>
      <c r="R16" s="180">
        <f t="shared" si="0"/>
        <v>0</v>
      </c>
      <c r="S16" s="180">
        <f t="shared" si="1"/>
        <v>0</v>
      </c>
      <c r="T16" s="180">
        <f t="shared" si="2"/>
        <v>0</v>
      </c>
      <c r="U16" s="180">
        <f t="shared" si="3"/>
        <v>0</v>
      </c>
      <c r="V16" s="180">
        <f t="shared" si="4"/>
        <v>0</v>
      </c>
      <c r="W16" s="186">
        <f t="shared" si="11"/>
        <v>0</v>
      </c>
      <c r="X16" s="447">
        <f t="shared" si="12"/>
        <v>0</v>
      </c>
      <c r="Y16" s="173"/>
      <c r="Z16" s="173"/>
      <c r="AA16" s="173"/>
      <c r="AB16" s="173"/>
      <c r="AC16" s="180">
        <f t="shared" si="13"/>
        <v>0</v>
      </c>
      <c r="AD16" s="186">
        <f t="shared" si="14"/>
        <v>0</v>
      </c>
      <c r="AE16" s="447">
        <f t="shared" si="15"/>
        <v>0</v>
      </c>
      <c r="AF16" s="173"/>
      <c r="AG16" s="173"/>
      <c r="AH16" s="173"/>
      <c r="AI16" s="173"/>
      <c r="AJ16" s="180">
        <f t="shared" si="16"/>
        <v>0</v>
      </c>
      <c r="AK16" s="186">
        <f t="shared" si="17"/>
        <v>0</v>
      </c>
      <c r="AL16" s="447">
        <f t="shared" si="18"/>
        <v>0</v>
      </c>
    </row>
    <row r="17" spans="1:38" ht="20.25" customHeight="1">
      <c r="A17" s="178">
        <v>10</v>
      </c>
      <c r="B17" s="179" t="s">
        <v>148</v>
      </c>
      <c r="C17" s="173"/>
      <c r="D17" s="197"/>
      <c r="E17" s="197"/>
      <c r="F17" s="197"/>
      <c r="G17" s="180">
        <f t="shared" si="5"/>
        <v>0</v>
      </c>
      <c r="H17" s="186">
        <f t="shared" si="6"/>
        <v>0</v>
      </c>
      <c r="I17" s="447">
        <f t="shared" si="7"/>
        <v>0</v>
      </c>
      <c r="J17" s="173"/>
      <c r="K17" s="173"/>
      <c r="L17" s="197"/>
      <c r="M17" s="197"/>
      <c r="N17" s="197"/>
      <c r="O17" s="180">
        <f t="shared" si="8"/>
        <v>0</v>
      </c>
      <c r="P17" s="186">
        <f t="shared" si="9"/>
        <v>0</v>
      </c>
      <c r="Q17" s="447">
        <f t="shared" si="10"/>
        <v>0</v>
      </c>
      <c r="R17" s="180">
        <f t="shared" si="0"/>
        <v>0</v>
      </c>
      <c r="S17" s="180">
        <f t="shared" si="1"/>
        <v>0</v>
      </c>
      <c r="T17" s="180">
        <f t="shared" si="2"/>
        <v>0</v>
      </c>
      <c r="U17" s="180">
        <f t="shared" si="3"/>
        <v>0</v>
      </c>
      <c r="V17" s="180">
        <f t="shared" si="4"/>
        <v>0</v>
      </c>
      <c r="W17" s="186">
        <f t="shared" si="11"/>
        <v>0</v>
      </c>
      <c r="X17" s="447">
        <f t="shared" si="12"/>
        <v>0</v>
      </c>
      <c r="Y17" s="173"/>
      <c r="Z17" s="173"/>
      <c r="AA17" s="173"/>
      <c r="AB17" s="173"/>
      <c r="AC17" s="180">
        <f t="shared" si="13"/>
        <v>0</v>
      </c>
      <c r="AD17" s="186">
        <f t="shared" si="14"/>
        <v>0</v>
      </c>
      <c r="AE17" s="447">
        <f t="shared" si="15"/>
        <v>0</v>
      </c>
      <c r="AF17" s="173"/>
      <c r="AG17" s="173"/>
      <c r="AH17" s="173"/>
      <c r="AI17" s="173"/>
      <c r="AJ17" s="180">
        <f t="shared" si="16"/>
        <v>0</v>
      </c>
      <c r="AK17" s="186">
        <f t="shared" si="17"/>
        <v>0</v>
      </c>
      <c r="AL17" s="447">
        <f t="shared" si="18"/>
        <v>0</v>
      </c>
    </row>
    <row r="18" spans="1:38" ht="31.5" customHeight="1">
      <c r="A18" s="178">
        <v>11</v>
      </c>
      <c r="B18" s="179" t="s">
        <v>338</v>
      </c>
      <c r="C18" s="173"/>
      <c r="D18" s="197"/>
      <c r="E18" s="197"/>
      <c r="F18" s="197"/>
      <c r="G18" s="180">
        <f>D18+F18+E18</f>
        <v>0</v>
      </c>
      <c r="H18" s="186">
        <f>G18*13</f>
        <v>0</v>
      </c>
      <c r="I18" s="447">
        <f>D18*13</f>
        <v>0</v>
      </c>
      <c r="J18" s="173"/>
      <c r="K18" s="173"/>
      <c r="L18" s="197"/>
      <c r="M18" s="197"/>
      <c r="N18" s="197"/>
      <c r="O18" s="180">
        <f>L18+M18+N18</f>
        <v>0</v>
      </c>
      <c r="P18" s="186">
        <f>O18*13</f>
        <v>0</v>
      </c>
      <c r="Q18" s="447">
        <f>L18*13</f>
        <v>0</v>
      </c>
      <c r="R18" s="180"/>
      <c r="S18" s="180"/>
      <c r="T18" s="180"/>
      <c r="U18" s="180"/>
      <c r="V18" s="180"/>
      <c r="W18" s="186">
        <f>+H18-P18</f>
        <v>0</v>
      </c>
      <c r="X18" s="447">
        <f>+I18-Q18</f>
        <v>0</v>
      </c>
      <c r="Y18" s="173"/>
      <c r="Z18" s="173"/>
      <c r="AA18" s="173"/>
      <c r="AB18" s="173"/>
      <c r="AC18" s="180">
        <f>Z18+AA18+AB18</f>
        <v>0</v>
      </c>
      <c r="AD18" s="186">
        <f>AC18*13</f>
        <v>0</v>
      </c>
      <c r="AE18" s="447">
        <f>Z18*13</f>
        <v>0</v>
      </c>
      <c r="AF18" s="173"/>
      <c r="AG18" s="173"/>
      <c r="AH18" s="173"/>
      <c r="AI18" s="173"/>
      <c r="AJ18" s="180">
        <f>AG18+AH18+AI18</f>
        <v>0</v>
      </c>
      <c r="AK18" s="186">
        <f>AJ18*13</f>
        <v>0</v>
      </c>
      <c r="AL18" s="447">
        <f>AG18*13</f>
        <v>0</v>
      </c>
    </row>
    <row r="19" spans="1:38" ht="48.75" customHeight="1">
      <c r="A19" s="178">
        <v>12</v>
      </c>
      <c r="B19" s="179" t="s">
        <v>234</v>
      </c>
      <c r="C19" s="173">
        <f>'18հաստիքացուցակ պետ-ծառ'!N18</f>
        <v>1</v>
      </c>
      <c r="D19" s="565">
        <f>'18հաստիքացուցակ պետ-ծառ'!Q18</f>
        <v>395200</v>
      </c>
      <c r="E19" s="565">
        <f>'18հաստիքացուցակ պետ-ծառ'!R18</f>
        <v>0</v>
      </c>
      <c r="F19" s="565">
        <f>'18հաստիքացուցակ պետ-ծառ'!S18</f>
        <v>0</v>
      </c>
      <c r="G19" s="180">
        <f>D19+F19+E19</f>
        <v>395200</v>
      </c>
      <c r="H19" s="186">
        <f t="shared" si="6"/>
        <v>5137600</v>
      </c>
      <c r="I19" s="447">
        <f t="shared" si="7"/>
        <v>5137600</v>
      </c>
      <c r="J19" s="173">
        <f>'18հաստիքացուցակ պետ-ծառ'!G18</f>
        <v>1</v>
      </c>
      <c r="K19" s="565"/>
      <c r="L19" s="565">
        <f>'18հաստիքացուցակ պետ-ծառ'!J18</f>
        <v>395200</v>
      </c>
      <c r="M19" s="565">
        <f>'18հաստիքացուցակ պետ-ծառ'!K18</f>
        <v>0</v>
      </c>
      <c r="N19" s="565">
        <f>'18հաստիքացուցակ պետ-ծառ'!L18</f>
        <v>0</v>
      </c>
      <c r="O19" s="565">
        <f>'18հաստիքացուցակ պետ-ծառ'!M18</f>
        <v>395200</v>
      </c>
      <c r="P19" s="186">
        <f>O19*13</f>
        <v>5137600</v>
      </c>
      <c r="Q19" s="447">
        <f>L19*13</f>
        <v>5137600</v>
      </c>
      <c r="R19" s="180">
        <f t="shared" si="0"/>
        <v>0</v>
      </c>
      <c r="S19" s="180">
        <f t="shared" si="1"/>
        <v>0</v>
      </c>
      <c r="T19" s="180">
        <f t="shared" si="2"/>
        <v>0</v>
      </c>
      <c r="U19" s="180">
        <f t="shared" si="3"/>
        <v>0</v>
      </c>
      <c r="V19" s="180">
        <f t="shared" si="4"/>
        <v>0</v>
      </c>
      <c r="W19" s="186">
        <f>+H19-P19</f>
        <v>0</v>
      </c>
      <c r="X19" s="447">
        <f t="shared" si="12"/>
        <v>0</v>
      </c>
      <c r="Y19" s="173">
        <f>'18հաստիքացուցակ պետ-ծառ'!Z18</f>
        <v>1</v>
      </c>
      <c r="Z19" s="555">
        <f>'18հաստիքացուցակ պետ-ծառ'!AC18</f>
        <v>395200</v>
      </c>
      <c r="AA19" s="555">
        <f>'18հաստիքացուցակ պետ-ծառ'!AD18</f>
        <v>0</v>
      </c>
      <c r="AB19" s="555">
        <f>'18հաստիքացուցակ պետ-ծառ'!AE18</f>
        <v>0</v>
      </c>
      <c r="AC19" s="555">
        <f>'18հաստիքացուցակ պետ-ծառ'!AF18</f>
        <v>395200</v>
      </c>
      <c r="AD19" s="186">
        <f>AC19*13</f>
        <v>5137600</v>
      </c>
      <c r="AE19" s="447">
        <f t="shared" si="15"/>
        <v>5137600</v>
      </c>
      <c r="AF19" s="173">
        <f>'18հաստիքացուցակ պետ-ծառ'!AG18</f>
        <v>1</v>
      </c>
      <c r="AG19" s="555">
        <f>'18հաստիքացուցակ պետ-ծառ'!AJ18</f>
        <v>395200</v>
      </c>
      <c r="AH19" s="555">
        <f>'18հաստիքացուցակ պետ-ծառ'!AK18</f>
        <v>0</v>
      </c>
      <c r="AI19" s="555">
        <f>'18հաստիքացուցակ պետ-ծառ'!AL18</f>
        <v>0</v>
      </c>
      <c r="AJ19" s="555">
        <f>'18հաստիքացուցակ պետ-ծառ'!AM18</f>
        <v>395200</v>
      </c>
      <c r="AK19" s="186">
        <f>AJ19*13</f>
        <v>5137600</v>
      </c>
      <c r="AL19" s="447">
        <f t="shared" si="18"/>
        <v>5137600</v>
      </c>
    </row>
    <row r="20" spans="1:38" ht="60.75" customHeight="1">
      <c r="A20" s="178">
        <v>13</v>
      </c>
      <c r="B20" s="179" t="s">
        <v>231</v>
      </c>
      <c r="C20" s="555">
        <f>'18հաստիքացուցակ պետ-ծառ'!G98</f>
        <v>2</v>
      </c>
      <c r="D20" s="565">
        <f>'18հաստիքացուցակ պետ-ծառ'!J98</f>
        <v>181800</v>
      </c>
      <c r="E20" s="565">
        <f>'18հաստիքացուցակ պետ-ծառ'!K98</f>
        <v>0</v>
      </c>
      <c r="F20" s="565">
        <f>'18հաստիքացուցակ պետ-ծառ'!L98</f>
        <v>0</v>
      </c>
      <c r="G20" s="180">
        <f t="shared" si="5"/>
        <v>181800</v>
      </c>
      <c r="H20" s="186">
        <f>G20*12</f>
        <v>2181600</v>
      </c>
      <c r="I20" s="447">
        <f>D20*12</f>
        <v>2181600</v>
      </c>
      <c r="J20" s="555">
        <f>'18հաստիքացուցակ պետ-ծառ'!N98</f>
        <v>2</v>
      </c>
      <c r="K20" s="173"/>
      <c r="L20" s="565">
        <f>'18հաստիքացուցակ պետ-ծառ'!Q98</f>
        <v>181800</v>
      </c>
      <c r="M20" s="565">
        <f>'18հաստիքացուցակ պետ-ծառ'!R98</f>
        <v>0</v>
      </c>
      <c r="N20" s="565">
        <f>'18հաստիքացուցակ պետ-ծառ'!S98</f>
        <v>0</v>
      </c>
      <c r="O20" s="180">
        <f>L20+M20+N20</f>
        <v>181800</v>
      </c>
      <c r="P20" s="186">
        <f>O20*12</f>
        <v>2181600</v>
      </c>
      <c r="Q20" s="447">
        <f>L20*12</f>
        <v>2181600</v>
      </c>
      <c r="R20" s="180">
        <f t="shared" si="0"/>
        <v>0</v>
      </c>
      <c r="S20" s="180">
        <f t="shared" si="1"/>
        <v>0</v>
      </c>
      <c r="T20" s="180">
        <f t="shared" si="2"/>
        <v>0</v>
      </c>
      <c r="U20" s="180">
        <f t="shared" si="3"/>
        <v>0</v>
      </c>
      <c r="V20" s="180">
        <f t="shared" si="4"/>
        <v>0</v>
      </c>
      <c r="W20" s="186">
        <f t="shared" si="11"/>
        <v>0</v>
      </c>
      <c r="X20" s="447">
        <f t="shared" si="12"/>
        <v>0</v>
      </c>
      <c r="Y20" s="555">
        <f>'18հաստիքացուցակ պետ-ծառ'!Z98</f>
        <v>2</v>
      </c>
      <c r="Z20" s="555">
        <f>'18հաստիքացուցակ պետ-ծառ'!AC98</f>
        <v>181800</v>
      </c>
      <c r="AA20" s="555">
        <f>'18հաստիքացուցակ պետ-ծառ'!AD98</f>
        <v>0</v>
      </c>
      <c r="AB20" s="555">
        <f>'18հաստիքացուցակ պետ-ծառ'!AE98</f>
        <v>0</v>
      </c>
      <c r="AC20" s="180">
        <f t="shared" si="13"/>
        <v>181800</v>
      </c>
      <c r="AD20" s="186">
        <f>AC20*12</f>
        <v>2181600</v>
      </c>
      <c r="AE20" s="447">
        <f>Z20*12</f>
        <v>2181600</v>
      </c>
      <c r="AF20" s="555">
        <f>'18հաստիքացուցակ պետ-ծառ'!AG98</f>
        <v>2</v>
      </c>
      <c r="AG20" s="555">
        <f>'18հաստիքացուցակ պետ-ծառ'!AJ98</f>
        <v>181800</v>
      </c>
      <c r="AH20" s="555">
        <f>'18հաստիքացուցակ պետ-ծառ'!AK98</f>
        <v>0</v>
      </c>
      <c r="AI20" s="555">
        <f>'18հաստիքացուցակ պետ-ծառ'!AL98</f>
        <v>0</v>
      </c>
      <c r="AJ20" s="180">
        <f t="shared" si="16"/>
        <v>181800</v>
      </c>
      <c r="AK20" s="186">
        <f>AJ20*12</f>
        <v>2181600</v>
      </c>
      <c r="AL20" s="447">
        <f>AG20*12</f>
        <v>2181600</v>
      </c>
    </row>
    <row r="21" spans="1:38" ht="38.25" customHeight="1">
      <c r="A21" s="178"/>
      <c r="B21" s="24" t="s">
        <v>137</v>
      </c>
      <c r="C21" s="546">
        <f aca="true" t="shared" si="19" ref="C21:AK21">SUM(C8:C20)</f>
        <v>43</v>
      </c>
      <c r="D21" s="546">
        <f t="shared" si="19"/>
        <v>15119528</v>
      </c>
      <c r="E21" s="546">
        <f t="shared" si="19"/>
        <v>1353530.88</v>
      </c>
      <c r="F21" s="546">
        <f t="shared" si="19"/>
        <v>295235.2</v>
      </c>
      <c r="G21" s="546">
        <f t="shared" si="19"/>
        <v>16768294.079999998</v>
      </c>
      <c r="H21" s="621">
        <f>SUM(H8:H20)</f>
        <v>217806023.03999996</v>
      </c>
      <c r="I21" s="622">
        <f>SUM(I8:I20)</f>
        <v>196372064</v>
      </c>
      <c r="J21" s="546">
        <f t="shared" si="19"/>
        <v>43</v>
      </c>
      <c r="K21" s="546">
        <f>SUM(K8:K20)</f>
        <v>17</v>
      </c>
      <c r="L21" s="546">
        <f t="shared" si="19"/>
        <v>14994728</v>
      </c>
      <c r="M21" s="546">
        <f t="shared" si="19"/>
        <v>1341550.0799999998</v>
      </c>
      <c r="N21" s="546">
        <f t="shared" si="19"/>
        <v>295235.2</v>
      </c>
      <c r="O21" s="546">
        <f t="shared" si="19"/>
        <v>16631513.28</v>
      </c>
      <c r="P21" s="621">
        <f t="shared" si="19"/>
        <v>216027872.64</v>
      </c>
      <c r="Q21" s="622">
        <f>SUM(Q8:Q20)</f>
        <v>194749664</v>
      </c>
      <c r="R21" s="546">
        <f t="shared" si="19"/>
        <v>0</v>
      </c>
      <c r="S21" s="546">
        <f>SUM(S8:S20)</f>
        <v>124800</v>
      </c>
      <c r="T21" s="546">
        <f t="shared" si="19"/>
        <v>11980.800000000047</v>
      </c>
      <c r="U21" s="546">
        <f t="shared" si="19"/>
        <v>0</v>
      </c>
      <c r="V21" s="546">
        <f t="shared" si="19"/>
        <v>136780.79999999888</v>
      </c>
      <c r="W21" s="621">
        <f t="shared" si="19"/>
        <v>1778150.3999999762</v>
      </c>
      <c r="X21" s="622">
        <f t="shared" si="19"/>
        <v>1622400</v>
      </c>
      <c r="Y21" s="546">
        <f t="shared" si="19"/>
        <v>43</v>
      </c>
      <c r="Z21" s="546">
        <f t="shared" si="19"/>
        <v>15389096</v>
      </c>
      <c r="AA21" s="546">
        <f t="shared" si="19"/>
        <v>1415531.5199999998</v>
      </c>
      <c r="AB21" s="546">
        <f t="shared" si="19"/>
        <v>299728</v>
      </c>
      <c r="AC21" s="546">
        <f t="shared" si="19"/>
        <v>17104355.52</v>
      </c>
      <c r="AD21" s="621">
        <f t="shared" si="19"/>
        <v>222174821.76</v>
      </c>
      <c r="AE21" s="622">
        <f>SUM(AE8:AE20)</f>
        <v>199876448</v>
      </c>
      <c r="AF21" s="546">
        <f t="shared" si="19"/>
        <v>43</v>
      </c>
      <c r="AG21" s="546">
        <f t="shared" si="19"/>
        <v>15557992</v>
      </c>
      <c r="AH21" s="546">
        <f t="shared" si="19"/>
        <v>1431206.3999999997</v>
      </c>
      <c r="AI21" s="546">
        <f t="shared" si="19"/>
        <v>301475.2</v>
      </c>
      <c r="AJ21" s="546">
        <f t="shared" si="19"/>
        <v>17290673.6</v>
      </c>
      <c r="AK21" s="621">
        <f t="shared" si="19"/>
        <v>224596956.79999998</v>
      </c>
      <c r="AL21" s="622">
        <f>SUM(AL8:AL20)</f>
        <v>202072096</v>
      </c>
    </row>
    <row r="22" spans="2:38" ht="41.25" customHeight="1">
      <c r="B22" s="435" t="s">
        <v>327</v>
      </c>
      <c r="C22" s="4"/>
      <c r="G22" s="617"/>
      <c r="I22" s="489">
        <f>+I21*0.16</f>
        <v>31419530.240000002</v>
      </c>
      <c r="J22" s="436"/>
      <c r="K22" s="436"/>
      <c r="L22" s="437"/>
      <c r="M22" s="437"/>
      <c r="N22" s="437"/>
      <c r="O22" s="648"/>
      <c r="P22" s="449"/>
      <c r="Q22" s="489">
        <f>+Q21*0.16</f>
        <v>31159946.240000002</v>
      </c>
      <c r="R22" s="437"/>
      <c r="S22" s="648"/>
      <c r="T22" s="648"/>
      <c r="U22" s="648"/>
      <c r="V22" s="648"/>
      <c r="W22" s="453"/>
      <c r="X22" s="452"/>
      <c r="Y22" s="436"/>
      <c r="Z22" s="436"/>
      <c r="AA22" s="436"/>
      <c r="AB22" s="436"/>
      <c r="AC22" s="648"/>
      <c r="AD22" s="449"/>
      <c r="AE22" s="489">
        <f>+AE21*0.16</f>
        <v>31980231.68</v>
      </c>
      <c r="AF22" s="436"/>
      <c r="AG22" s="436"/>
      <c r="AH22" s="436"/>
      <c r="AI22" s="436"/>
      <c r="AJ22" s="648"/>
      <c r="AK22" s="449"/>
      <c r="AL22" s="489">
        <f>+AL21*0.16</f>
        <v>32331535.36</v>
      </c>
    </row>
    <row r="23" spans="2:38" ht="20.25" customHeight="1">
      <c r="B23" s="435" t="s">
        <v>314</v>
      </c>
      <c r="I23" s="489">
        <f>+H21+I22/6</f>
        <v>223042611.4133333</v>
      </c>
      <c r="K23" s="437"/>
      <c r="L23" s="437"/>
      <c r="M23" s="437"/>
      <c r="N23" s="437"/>
      <c r="O23" s="437"/>
      <c r="P23" s="449"/>
      <c r="Q23" s="489">
        <f>+P21+Q22/6</f>
        <v>221221197.01333332</v>
      </c>
      <c r="R23" s="437"/>
      <c r="S23" s="437"/>
      <c r="T23" s="437"/>
      <c r="U23" s="437"/>
      <c r="V23" s="437"/>
      <c r="W23" s="453"/>
      <c r="X23" s="452"/>
      <c r="Y23" s="437"/>
      <c r="Z23" s="437"/>
      <c r="AA23" s="437"/>
      <c r="AB23" s="437"/>
      <c r="AC23" s="437"/>
      <c r="AD23" s="449"/>
      <c r="AE23" s="489">
        <f>+AD21+AE22/6</f>
        <v>227504860.37333333</v>
      </c>
      <c r="AF23" s="437"/>
      <c r="AG23" s="437"/>
      <c r="AH23" s="437"/>
      <c r="AI23" s="437"/>
      <c r="AJ23" s="437"/>
      <c r="AK23" s="449"/>
      <c r="AL23" s="489">
        <f>+AK21+AL22/6</f>
        <v>229985546.02666664</v>
      </c>
    </row>
    <row r="24" spans="7:24" ht="16.5">
      <c r="G24" s="653"/>
      <c r="I24" s="615"/>
      <c r="W24" s="451"/>
      <c r="X24" s="450"/>
    </row>
    <row r="25" ht="14.25">
      <c r="I25" s="615"/>
    </row>
    <row r="26" ht="14.25">
      <c r="I26" s="615"/>
    </row>
    <row r="27" ht="14.25">
      <c r="Q27" s="615"/>
    </row>
    <row r="28" ht="14.25">
      <c r="I28" s="652"/>
    </row>
    <row r="33" ht="14.25">
      <c r="I33" s="615"/>
    </row>
  </sheetData>
  <sheetProtection/>
  <mergeCells count="3">
    <mergeCell ref="J5:O5"/>
    <mergeCell ref="AF5:AK5"/>
    <mergeCell ref="B2:G2"/>
  </mergeCells>
  <printOptions/>
  <pageMargins left="0.27" right="0.17" top="0.23" bottom="0.26" header="0.17" footer="0.16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85">
      <selection activeCell="G16" sqref="G16"/>
    </sheetView>
  </sheetViews>
  <sheetFormatPr defaultColWidth="9.140625" defaultRowHeight="12.75"/>
  <cols>
    <col min="1" max="1" width="7.8515625" style="15" customWidth="1"/>
    <col min="2" max="2" width="8.8515625" style="15" customWidth="1"/>
    <col min="3" max="3" width="6.7109375" style="11" customWidth="1"/>
    <col min="4" max="4" width="45.57421875" style="165" customWidth="1"/>
    <col min="5" max="6" width="11.7109375" style="3" customWidth="1"/>
    <col min="7" max="7" width="13.00390625" style="3" customWidth="1"/>
    <col min="8" max="8" width="9.140625" style="4" customWidth="1"/>
    <col min="9" max="9" width="10.28125" style="4" bestFit="1" customWidth="1"/>
    <col min="10" max="10" width="10.421875" style="4" bestFit="1" customWidth="1"/>
    <col min="11" max="16384" width="9.140625" style="4" customWidth="1"/>
  </cols>
  <sheetData>
    <row r="1" spans="1:2" ht="21.75" customHeight="1">
      <c r="A1" s="27"/>
      <c r="B1" s="27"/>
    </row>
    <row r="2" spans="1:7" s="27" customFormat="1" ht="30" customHeight="1" thickBot="1">
      <c r="A2" s="676" t="s">
        <v>413</v>
      </c>
      <c r="B2" s="676"/>
      <c r="C2" s="676"/>
      <c r="D2" s="676"/>
      <c r="E2" s="676"/>
      <c r="F2" s="676"/>
      <c r="G2" s="676"/>
    </row>
    <row r="3" spans="1:7" s="328" customFormat="1" ht="16.5">
      <c r="A3" s="348" t="s">
        <v>211</v>
      </c>
      <c r="B3" s="499" t="s">
        <v>414</v>
      </c>
      <c r="C3" s="327"/>
      <c r="D3" s="677"/>
      <c r="E3" s="677"/>
      <c r="F3" s="677"/>
      <c r="G3" s="677"/>
    </row>
    <row r="4" spans="1:7" s="328" customFormat="1" ht="16.5">
      <c r="A4" s="192" t="s">
        <v>212</v>
      </c>
      <c r="B4" s="499" t="s">
        <v>415</v>
      </c>
      <c r="C4" s="327"/>
      <c r="D4" s="660"/>
      <c r="E4" s="660"/>
      <c r="F4" s="660"/>
      <c r="G4" s="660"/>
    </row>
    <row r="5" spans="1:7" s="27" customFormat="1" ht="14.25">
      <c r="A5" s="192" t="s">
        <v>213</v>
      </c>
      <c r="B5" s="499" t="s">
        <v>415</v>
      </c>
      <c r="C5" s="40"/>
      <c r="D5" s="5"/>
      <c r="E5" s="19"/>
      <c r="F5" s="19"/>
      <c r="G5" s="19"/>
    </row>
    <row r="6" spans="1:6" s="11" customFormat="1" ht="13.5">
      <c r="A6" s="678"/>
      <c r="B6" s="678"/>
      <c r="C6" s="225"/>
      <c r="D6" s="243"/>
      <c r="E6" s="6"/>
      <c r="F6" s="6"/>
    </row>
    <row r="7" spans="1:7" s="11" customFormat="1" ht="35.25" customHeight="1">
      <c r="A7" s="663" t="s">
        <v>214</v>
      </c>
      <c r="B7" s="663"/>
      <c r="C7" s="679"/>
      <c r="D7" s="680"/>
      <c r="E7" s="44" t="s">
        <v>247</v>
      </c>
      <c r="F7" s="44" t="s">
        <v>248</v>
      </c>
      <c r="G7" s="49" t="s">
        <v>253</v>
      </c>
    </row>
    <row r="8" spans="1:7" s="11" customFormat="1" ht="40.5">
      <c r="A8" s="333" t="s">
        <v>215</v>
      </c>
      <c r="B8" s="333" t="s">
        <v>216</v>
      </c>
      <c r="C8" s="294" t="s">
        <v>16</v>
      </c>
      <c r="D8" s="294" t="s">
        <v>189</v>
      </c>
      <c r="E8" s="10" t="s">
        <v>191</v>
      </c>
      <c r="F8" s="53" t="s">
        <v>12</v>
      </c>
      <c r="G8" s="10" t="s">
        <v>13</v>
      </c>
    </row>
    <row r="9" spans="1:7" s="210" customFormat="1" ht="13.5">
      <c r="A9" s="342">
        <v>1</v>
      </c>
      <c r="B9" s="342">
        <v>2</v>
      </c>
      <c r="C9" s="342">
        <v>3</v>
      </c>
      <c r="D9" s="342">
        <v>4</v>
      </c>
      <c r="E9" s="342">
        <v>5</v>
      </c>
      <c r="F9" s="342">
        <v>6</v>
      </c>
      <c r="G9" s="342">
        <v>7</v>
      </c>
    </row>
    <row r="10" spans="1:7" s="135" customFormat="1" ht="14.25" customHeight="1">
      <c r="A10" s="681" t="s">
        <v>416</v>
      </c>
      <c r="B10" s="668">
        <v>11001</v>
      </c>
      <c r="C10" s="334"/>
      <c r="D10" s="216" t="s">
        <v>157</v>
      </c>
      <c r="E10" s="209">
        <v>43</v>
      </c>
      <c r="F10" s="209">
        <v>43</v>
      </c>
      <c r="G10" s="209">
        <v>43</v>
      </c>
    </row>
    <row r="11" spans="1:7" s="135" customFormat="1" ht="13.5" customHeight="1">
      <c r="A11" s="671"/>
      <c r="B11" s="669"/>
      <c r="C11" s="335"/>
      <c r="D11" s="217"/>
      <c r="E11" s="129"/>
      <c r="F11" s="129"/>
      <c r="G11" s="129"/>
    </row>
    <row r="12" spans="1:11" s="135" customFormat="1" ht="14.25" customHeight="1">
      <c r="A12" s="671"/>
      <c r="B12" s="669"/>
      <c r="C12" s="335"/>
      <c r="D12" s="218" t="s">
        <v>14</v>
      </c>
      <c r="E12" s="129">
        <v>4</v>
      </c>
      <c r="F12" s="129">
        <v>4</v>
      </c>
      <c r="G12" s="129">
        <v>4</v>
      </c>
      <c r="J12" s="637"/>
      <c r="K12" s="637"/>
    </row>
    <row r="13" spans="1:7" s="212" customFormat="1" ht="14.25" customHeight="1">
      <c r="A13" s="671"/>
      <c r="B13" s="669"/>
      <c r="C13" s="335"/>
      <c r="D13" s="217"/>
      <c r="E13" s="129"/>
      <c r="F13" s="129"/>
      <c r="G13" s="129"/>
    </row>
    <row r="14" spans="1:11" s="210" customFormat="1" ht="14.25" customHeight="1">
      <c r="A14" s="671"/>
      <c r="B14" s="669"/>
      <c r="C14" s="336"/>
      <c r="D14" s="226" t="s">
        <v>15</v>
      </c>
      <c r="E14" s="211">
        <f>+E16+E85</f>
        <v>321786.84599999996</v>
      </c>
      <c r="F14" s="211">
        <f>+F16+F85</f>
        <v>356799.19999999995</v>
      </c>
      <c r="G14" s="211">
        <f>+G16+G85</f>
        <v>620993.4977312</v>
      </c>
      <c r="I14" s="616"/>
      <c r="J14" s="616"/>
      <c r="K14" s="616"/>
    </row>
    <row r="15" spans="1:7" s="210" customFormat="1" ht="14.25" customHeight="1">
      <c r="A15" s="671"/>
      <c r="B15" s="669"/>
      <c r="C15" s="337"/>
      <c r="D15" s="12" t="s">
        <v>190</v>
      </c>
      <c r="E15" s="129"/>
      <c r="F15" s="129"/>
      <c r="G15" s="129"/>
    </row>
    <row r="16" spans="1:10" s="210" customFormat="1" ht="14.25" customHeight="1">
      <c r="A16" s="671"/>
      <c r="B16" s="669"/>
      <c r="C16" s="338"/>
      <c r="D16" s="219" t="s">
        <v>17</v>
      </c>
      <c r="E16" s="211">
        <f>E18+SUM(E24:E83)-E24-E29-E37-E51-E55-E74</f>
        <v>321786.84599999996</v>
      </c>
      <c r="F16" s="211">
        <f>F18+SUM(F24:F83)-F24-F29-F37-F51-F55-F74</f>
        <v>356799.19999999995</v>
      </c>
      <c r="G16" s="211">
        <f>G18+SUM(G24:G83)-G24-G29-G37-G51-G55-G74</f>
        <v>359950.49773119995</v>
      </c>
      <c r="I16" s="661"/>
      <c r="J16" s="661"/>
    </row>
    <row r="17" spans="1:10" s="210" customFormat="1" ht="13.5" customHeight="1">
      <c r="A17" s="671"/>
      <c r="B17" s="669"/>
      <c r="C17" s="334"/>
      <c r="D17" s="217" t="s">
        <v>53</v>
      </c>
      <c r="E17" s="209"/>
      <c r="F17" s="209"/>
      <c r="G17" s="129"/>
      <c r="J17" s="616"/>
    </row>
    <row r="18" spans="1:7" s="210" customFormat="1" ht="33.75" customHeight="1">
      <c r="A18" s="671"/>
      <c r="B18" s="669"/>
      <c r="C18" s="339"/>
      <c r="D18" s="296" t="s">
        <v>235</v>
      </c>
      <c r="E18" s="395">
        <f>SUM(E20:E23)</f>
        <v>238560.086</v>
      </c>
      <c r="F18" s="395">
        <f>SUM(F20:F23)</f>
        <v>268029.8</v>
      </c>
      <c r="G18" s="395">
        <f>SUM(G20:G23)</f>
        <v>265894.9</v>
      </c>
    </row>
    <row r="19" spans="1:12" s="210" customFormat="1" ht="13.5">
      <c r="A19" s="345"/>
      <c r="B19" s="343"/>
      <c r="C19" s="334"/>
      <c r="D19" s="217" t="s">
        <v>53</v>
      </c>
      <c r="E19" s="209"/>
      <c r="F19" s="209"/>
      <c r="G19" s="129"/>
      <c r="K19" s="616"/>
      <c r="L19" s="616"/>
    </row>
    <row r="20" spans="1:10" s="210" customFormat="1" ht="59.25" customHeight="1">
      <c r="A20" s="345"/>
      <c r="B20" s="343"/>
      <c r="C20" s="340" t="s">
        <v>149</v>
      </c>
      <c r="D20" s="220" t="s">
        <v>18</v>
      </c>
      <c r="E20" s="209">
        <v>186684.9</v>
      </c>
      <c r="F20" s="209">
        <v>225800</v>
      </c>
      <c r="G20" s="500">
        <v>223723.9</v>
      </c>
      <c r="I20" s="616"/>
      <c r="J20" s="616"/>
    </row>
    <row r="21" spans="1:9" s="213" customFormat="1" ht="28.5">
      <c r="A21" s="345"/>
      <c r="B21" s="343"/>
      <c r="C21" s="340" t="s">
        <v>150</v>
      </c>
      <c r="D21" s="221" t="s">
        <v>19</v>
      </c>
      <c r="E21" s="209">
        <v>37712.8</v>
      </c>
      <c r="F21" s="209">
        <v>28020.6</v>
      </c>
      <c r="G21" s="209">
        <v>24060</v>
      </c>
      <c r="I21" s="567"/>
    </row>
    <row r="22" spans="1:8" s="213" customFormat="1" ht="28.5">
      <c r="A22" s="345"/>
      <c r="B22" s="343"/>
      <c r="C22" s="340" t="s">
        <v>151</v>
      </c>
      <c r="D22" s="221" t="s">
        <v>20</v>
      </c>
      <c r="E22" s="209">
        <v>14162.386</v>
      </c>
      <c r="F22" s="209">
        <v>14209.2</v>
      </c>
      <c r="G22" s="209">
        <v>18111</v>
      </c>
      <c r="H22" s="567"/>
    </row>
    <row r="23" spans="1:7" s="213" customFormat="1" ht="27" customHeight="1">
      <c r="A23" s="345"/>
      <c r="B23" s="343"/>
      <c r="C23" s="340" t="s">
        <v>287</v>
      </c>
      <c r="D23" s="221" t="s">
        <v>288</v>
      </c>
      <c r="E23" s="209"/>
      <c r="F23" s="209"/>
      <c r="G23" s="209"/>
    </row>
    <row r="24" spans="1:10" s="213" customFormat="1" ht="40.5" customHeight="1">
      <c r="A24" s="345"/>
      <c r="B24" s="343"/>
      <c r="C24" s="341">
        <v>4212</v>
      </c>
      <c r="D24" s="296" t="s">
        <v>21</v>
      </c>
      <c r="E24" s="395">
        <f>E26+E27+E28</f>
        <v>5352.53</v>
      </c>
      <c r="F24" s="395">
        <f>F26+F27+F28</f>
        <v>5746.1</v>
      </c>
      <c r="G24" s="395">
        <f>G26+G27+G28</f>
        <v>5746.1377312</v>
      </c>
      <c r="J24" s="567"/>
    </row>
    <row r="25" spans="1:7" s="213" customFormat="1" ht="13.5">
      <c r="A25" s="345"/>
      <c r="B25" s="343"/>
      <c r="C25" s="340"/>
      <c r="D25" s="217" t="s">
        <v>53</v>
      </c>
      <c r="E25" s="227"/>
      <c r="F25" s="227"/>
      <c r="G25" s="227"/>
    </row>
    <row r="26" spans="1:7" s="213" customFormat="1" ht="13.5">
      <c r="A26" s="345"/>
      <c r="B26" s="343"/>
      <c r="C26" s="340"/>
      <c r="D26" s="217" t="s">
        <v>21</v>
      </c>
      <c r="E26" s="227">
        <v>5352.53</v>
      </c>
      <c r="F26" s="227">
        <v>2702.3</v>
      </c>
      <c r="G26" s="227">
        <v>2702.3</v>
      </c>
    </row>
    <row r="27" spans="1:7" s="213" customFormat="1" ht="13.5">
      <c r="A27" s="345"/>
      <c r="B27" s="343"/>
      <c r="C27" s="340"/>
      <c r="D27" s="217" t="s">
        <v>158</v>
      </c>
      <c r="E27" s="227"/>
      <c r="F27" s="227">
        <v>3043.8</v>
      </c>
      <c r="G27" s="227">
        <f>'8-էլ-էներգիա-ջեռուցում'!H14</f>
        <v>3043.8377312</v>
      </c>
    </row>
    <row r="28" spans="1:7" s="213" customFormat="1" ht="13.5">
      <c r="A28" s="345"/>
      <c r="B28" s="343"/>
      <c r="C28" s="340"/>
      <c r="D28" s="217" t="s">
        <v>192</v>
      </c>
      <c r="E28" s="227"/>
      <c r="F28" s="227"/>
      <c r="G28" s="227"/>
    </row>
    <row r="29" spans="1:7" s="213" customFormat="1" ht="14.25">
      <c r="A29" s="345"/>
      <c r="B29" s="343"/>
      <c r="C29" s="341">
        <v>4213</v>
      </c>
      <c r="D29" s="296" t="s">
        <v>22</v>
      </c>
      <c r="E29" s="395">
        <f>E31+E32</f>
        <v>49.21</v>
      </c>
      <c r="F29" s="395">
        <f>F31+F32</f>
        <v>68.3</v>
      </c>
      <c r="G29" s="395">
        <f>G31+G32</f>
        <v>68.3</v>
      </c>
    </row>
    <row r="30" spans="1:9" s="213" customFormat="1" ht="13.5">
      <c r="A30" s="345"/>
      <c r="B30" s="343"/>
      <c r="C30" s="340"/>
      <c r="D30" s="217" t="s">
        <v>53</v>
      </c>
      <c r="E30" s="227"/>
      <c r="F30" s="227"/>
      <c r="G30" s="227"/>
      <c r="I30" s="567"/>
    </row>
    <row r="31" spans="1:7" s="213" customFormat="1" ht="27">
      <c r="A31" s="345"/>
      <c r="B31" s="343"/>
      <c r="C31" s="340"/>
      <c r="D31" s="223" t="s">
        <v>23</v>
      </c>
      <c r="E31" s="227">
        <v>49.21</v>
      </c>
      <c r="F31" s="227">
        <v>68.3</v>
      </c>
      <c r="G31" s="227">
        <f>'3-Ծախսերի բացվածք'!I13</f>
        <v>68.3</v>
      </c>
    </row>
    <row r="32" spans="1:7" s="213" customFormat="1" ht="27">
      <c r="A32" s="345"/>
      <c r="B32" s="343"/>
      <c r="C32" s="340"/>
      <c r="D32" s="223" t="s">
        <v>152</v>
      </c>
      <c r="E32" s="227"/>
      <c r="F32" s="227"/>
      <c r="G32" s="227"/>
    </row>
    <row r="33" spans="1:7" s="213" customFormat="1" ht="14.25">
      <c r="A33" s="345"/>
      <c r="B33" s="343"/>
      <c r="C33" s="340">
        <v>4214</v>
      </c>
      <c r="D33" s="222" t="s">
        <v>24</v>
      </c>
      <c r="E33" s="227">
        <v>1903.49</v>
      </c>
      <c r="F33" s="227">
        <v>2117.2</v>
      </c>
      <c r="G33" s="227">
        <f>'3-Ծախսերի բացվածք'!I16</f>
        <v>2117.2</v>
      </c>
    </row>
    <row r="34" spans="1:7" s="210" customFormat="1" ht="23.25" customHeight="1">
      <c r="A34" s="345"/>
      <c r="B34" s="343"/>
      <c r="C34" s="340">
        <v>4215</v>
      </c>
      <c r="D34" s="222" t="s">
        <v>25</v>
      </c>
      <c r="E34" s="227">
        <v>136</v>
      </c>
      <c r="F34" s="227">
        <v>145</v>
      </c>
      <c r="G34" s="227">
        <f>'3-Ծախսերի բացվածք'!I24</f>
        <v>145</v>
      </c>
    </row>
    <row r="35" spans="1:7" s="135" customFormat="1" ht="14.25">
      <c r="A35" s="345"/>
      <c r="B35" s="343"/>
      <c r="C35" s="641">
        <v>4216</v>
      </c>
      <c r="D35" s="642" t="s">
        <v>26</v>
      </c>
      <c r="E35" s="643"/>
      <c r="F35" s="643"/>
      <c r="G35" s="643"/>
    </row>
    <row r="36" spans="1:7" s="135" customFormat="1" ht="14.25">
      <c r="A36" s="346"/>
      <c r="B36" s="344"/>
      <c r="C36" s="644">
        <v>4217</v>
      </c>
      <c r="D36" s="222" t="s">
        <v>27</v>
      </c>
      <c r="E36" s="227"/>
      <c r="F36" s="227"/>
      <c r="G36" s="227"/>
    </row>
    <row r="37" spans="1:7" s="135" customFormat="1" ht="72" customHeight="1">
      <c r="A37" s="347"/>
      <c r="B37" s="645"/>
      <c r="C37" s="646"/>
      <c r="D37" s="296" t="s">
        <v>203</v>
      </c>
      <c r="E37" s="395">
        <f>E39+E40</f>
        <v>632</v>
      </c>
      <c r="F37" s="395">
        <f>F39+F40</f>
        <v>1000</v>
      </c>
      <c r="G37" s="395">
        <f>G39+G40</f>
        <v>3400</v>
      </c>
    </row>
    <row r="38" spans="1:7" s="135" customFormat="1" ht="13.5">
      <c r="A38" s="345"/>
      <c r="B38" s="343"/>
      <c r="C38" s="340"/>
      <c r="D38" s="217" t="s">
        <v>53</v>
      </c>
      <c r="E38" s="129"/>
      <c r="F38" s="129"/>
      <c r="G38" s="129"/>
    </row>
    <row r="39" spans="1:7" s="632" customFormat="1" ht="36" customHeight="1">
      <c r="A39" s="628"/>
      <c r="B39" s="629"/>
      <c r="C39" s="630">
        <v>4221</v>
      </c>
      <c r="D39" s="631" t="s">
        <v>28</v>
      </c>
      <c r="E39" s="500">
        <v>632</v>
      </c>
      <c r="F39" s="500">
        <v>1000</v>
      </c>
      <c r="G39" s="500">
        <v>1000</v>
      </c>
    </row>
    <row r="40" spans="1:7" s="135" customFormat="1" ht="13.5">
      <c r="A40" s="345"/>
      <c r="B40" s="343"/>
      <c r="C40" s="340">
        <v>4222</v>
      </c>
      <c r="D40" s="217" t="s">
        <v>29</v>
      </c>
      <c r="E40" s="129"/>
      <c r="F40" s="129"/>
      <c r="G40" s="129">
        <v>2400</v>
      </c>
    </row>
    <row r="41" spans="1:7" s="213" customFormat="1" ht="19.5" customHeight="1">
      <c r="A41" s="345"/>
      <c r="B41" s="343"/>
      <c r="C41" s="340">
        <v>4231</v>
      </c>
      <c r="D41" s="218" t="s">
        <v>30</v>
      </c>
      <c r="E41" s="129"/>
      <c r="F41" s="129"/>
      <c r="G41" s="129"/>
    </row>
    <row r="42" spans="1:7" s="213" customFormat="1" ht="103.5" customHeight="1">
      <c r="A42" s="345"/>
      <c r="B42" s="343"/>
      <c r="C42" s="630">
        <v>4232</v>
      </c>
      <c r="D42" s="638" t="s">
        <v>31</v>
      </c>
      <c r="E42" s="500">
        <v>595</v>
      </c>
      <c r="F42" s="500">
        <v>1397</v>
      </c>
      <c r="G42" s="500">
        <f>'3-Ծախսերի բացվածք'!I27</f>
        <v>1397</v>
      </c>
    </row>
    <row r="43" spans="1:7" s="213" customFormat="1" ht="62.25" customHeight="1">
      <c r="A43" s="345"/>
      <c r="B43" s="343"/>
      <c r="C43" s="340">
        <v>4233</v>
      </c>
      <c r="D43" s="218" t="s">
        <v>186</v>
      </c>
      <c r="E43" s="129"/>
      <c r="F43" s="129">
        <v>34.6</v>
      </c>
      <c r="G43" s="129">
        <f>'3-Ծախսերի բացվածք'!I32</f>
        <v>100.8</v>
      </c>
    </row>
    <row r="44" spans="1:7" s="213" customFormat="1" ht="18.75" customHeight="1">
      <c r="A44" s="345"/>
      <c r="B44" s="343"/>
      <c r="C44" s="340">
        <v>4234</v>
      </c>
      <c r="D44" s="218" t="s">
        <v>32</v>
      </c>
      <c r="E44" s="227">
        <v>60</v>
      </c>
      <c r="F44" s="227">
        <v>60</v>
      </c>
      <c r="G44" s="227">
        <f>'3-Ծախսերի բացվածք'!I35</f>
        <v>60</v>
      </c>
    </row>
    <row r="45" spans="1:7" s="210" customFormat="1" ht="20.25" customHeight="1">
      <c r="A45" s="345"/>
      <c r="B45" s="343"/>
      <c r="C45" s="340">
        <v>4235</v>
      </c>
      <c r="D45" s="218" t="s">
        <v>33</v>
      </c>
      <c r="E45" s="227">
        <v>1788</v>
      </c>
      <c r="F45" s="227">
        <v>4800</v>
      </c>
      <c r="G45" s="647">
        <v>3120</v>
      </c>
    </row>
    <row r="46" spans="1:7" s="213" customFormat="1" ht="28.5">
      <c r="A46" s="345"/>
      <c r="B46" s="343"/>
      <c r="C46" s="340">
        <v>4236</v>
      </c>
      <c r="D46" s="218" t="s">
        <v>34</v>
      </c>
      <c r="E46" s="227"/>
      <c r="F46" s="227"/>
      <c r="G46" s="227"/>
    </row>
    <row r="47" spans="1:7" s="210" customFormat="1" ht="18.75" customHeight="1">
      <c r="A47" s="345"/>
      <c r="B47" s="343"/>
      <c r="C47" s="340">
        <v>4237</v>
      </c>
      <c r="D47" s="218" t="s">
        <v>35</v>
      </c>
      <c r="E47" s="227">
        <v>479.99</v>
      </c>
      <c r="F47" s="227">
        <v>280</v>
      </c>
      <c r="G47" s="227">
        <f>'3-Ծախսերի բացվածք'!I41</f>
        <v>280</v>
      </c>
    </row>
    <row r="48" spans="1:7" s="210" customFormat="1" ht="60" customHeight="1">
      <c r="A48" s="345"/>
      <c r="B48" s="343"/>
      <c r="C48" s="340">
        <v>4239</v>
      </c>
      <c r="D48" s="216" t="s">
        <v>36</v>
      </c>
      <c r="E48" s="209">
        <v>66697.89</v>
      </c>
      <c r="F48" s="209">
        <v>66729</v>
      </c>
      <c r="G48" s="500">
        <f>66729+4500</f>
        <v>71229</v>
      </c>
    </row>
    <row r="49" spans="1:7" s="210" customFormat="1" ht="18.75" customHeight="1">
      <c r="A49" s="345"/>
      <c r="B49" s="343"/>
      <c r="C49" s="340">
        <v>4241</v>
      </c>
      <c r="D49" s="218" t="s">
        <v>37</v>
      </c>
      <c r="E49" s="227"/>
      <c r="F49" s="227"/>
      <c r="G49" s="227"/>
    </row>
    <row r="50" spans="1:7" s="210" customFormat="1" ht="28.5">
      <c r="A50" s="345"/>
      <c r="B50" s="343"/>
      <c r="C50" s="340">
        <v>4251</v>
      </c>
      <c r="D50" s="216" t="s">
        <v>38</v>
      </c>
      <c r="E50" s="209"/>
      <c r="F50" s="209">
        <v>590.4</v>
      </c>
      <c r="G50" s="500">
        <f>'3-Ծախսերի բացվածք'!I49</f>
        <v>590.4</v>
      </c>
    </row>
    <row r="51" spans="1:14" s="210" customFormat="1" ht="28.5">
      <c r="A51" s="345"/>
      <c r="B51" s="343"/>
      <c r="C51" s="341">
        <v>4252</v>
      </c>
      <c r="D51" s="296" t="s">
        <v>39</v>
      </c>
      <c r="E51" s="395">
        <f>E53+E54</f>
        <v>1131.17</v>
      </c>
      <c r="F51" s="395">
        <f>F53+F54</f>
        <v>681.7</v>
      </c>
      <c r="G51" s="395">
        <f>G53+G54</f>
        <v>681.7</v>
      </c>
      <c r="I51" s="675"/>
      <c r="J51" s="675"/>
      <c r="K51" s="675"/>
      <c r="L51" s="675"/>
      <c r="M51" s="675"/>
      <c r="N51" s="675"/>
    </row>
    <row r="52" spans="1:7" s="210" customFormat="1" ht="13.5">
      <c r="A52" s="345"/>
      <c r="B52" s="343"/>
      <c r="C52" s="340"/>
      <c r="D52" s="217" t="s">
        <v>53</v>
      </c>
      <c r="E52" s="209"/>
      <c r="F52" s="209"/>
      <c r="G52" s="209"/>
    </row>
    <row r="53" spans="1:7" s="213" customFormat="1" ht="69" customHeight="1">
      <c r="A53" s="345"/>
      <c r="B53" s="343"/>
      <c r="C53" s="340"/>
      <c r="D53" s="224" t="s">
        <v>40</v>
      </c>
      <c r="E53" s="500">
        <v>507.47</v>
      </c>
      <c r="F53" s="209">
        <v>494.3</v>
      </c>
      <c r="G53" s="209">
        <f>'3-Ծախսերի բացվածք'!I54</f>
        <v>494.3</v>
      </c>
    </row>
    <row r="54" spans="1:7" s="213" customFormat="1" ht="27">
      <c r="A54" s="345"/>
      <c r="B54" s="343"/>
      <c r="C54" s="340"/>
      <c r="D54" s="224" t="s">
        <v>41</v>
      </c>
      <c r="E54" s="209">
        <v>623.7</v>
      </c>
      <c r="F54" s="209">
        <v>187.4</v>
      </c>
      <c r="G54" s="209">
        <f>'3-Ծախսերի բացվածք'!I55</f>
        <v>187.4</v>
      </c>
    </row>
    <row r="55" spans="1:10" s="213" customFormat="1" ht="14.25">
      <c r="A55" s="345"/>
      <c r="B55" s="343"/>
      <c r="C55" s="341">
        <v>4261</v>
      </c>
      <c r="D55" s="296" t="s">
        <v>42</v>
      </c>
      <c r="E55" s="395">
        <f>E57+E58</f>
        <v>519</v>
      </c>
      <c r="F55" s="395">
        <f>F57+F58</f>
        <v>519</v>
      </c>
      <c r="G55" s="395">
        <f>G57+G58</f>
        <v>519</v>
      </c>
      <c r="I55" s="567"/>
      <c r="J55" s="567"/>
    </row>
    <row r="56" spans="1:7" s="213" customFormat="1" ht="13.5">
      <c r="A56" s="345"/>
      <c r="B56" s="343"/>
      <c r="C56" s="340"/>
      <c r="D56" s="217" t="s">
        <v>53</v>
      </c>
      <c r="E56" s="227"/>
      <c r="F56" s="227"/>
      <c r="G56" s="227"/>
    </row>
    <row r="57" spans="1:7" s="213" customFormat="1" ht="13.5">
      <c r="A57" s="345"/>
      <c r="B57" s="343"/>
      <c r="C57" s="340"/>
      <c r="D57" s="217" t="s">
        <v>43</v>
      </c>
      <c r="E57" s="227">
        <v>519</v>
      </c>
      <c r="F57" s="227">
        <v>519</v>
      </c>
      <c r="G57" s="227">
        <f>'3-Ծախսերի բացվածք'!I56</f>
        <v>519</v>
      </c>
    </row>
    <row r="58" spans="1:7" s="213" customFormat="1" ht="13.5">
      <c r="A58" s="345"/>
      <c r="B58" s="343"/>
      <c r="C58" s="340"/>
      <c r="D58" s="217" t="s">
        <v>44</v>
      </c>
      <c r="E58" s="227"/>
      <c r="F58" s="227"/>
      <c r="G58" s="227"/>
    </row>
    <row r="59" spans="1:7" s="213" customFormat="1" ht="14.25">
      <c r="A59" s="345"/>
      <c r="B59" s="343"/>
      <c r="C59" s="340">
        <v>4262</v>
      </c>
      <c r="D59" s="218" t="s">
        <v>165</v>
      </c>
      <c r="E59" s="227"/>
      <c r="F59" s="227"/>
      <c r="G59" s="227"/>
    </row>
    <row r="60" spans="1:7" s="213" customFormat="1" ht="14.25">
      <c r="A60" s="345"/>
      <c r="B60" s="343"/>
      <c r="C60" s="340">
        <v>4264</v>
      </c>
      <c r="D60" s="218" t="s">
        <v>164</v>
      </c>
      <c r="E60" s="227">
        <v>3619</v>
      </c>
      <c r="F60" s="227">
        <v>4261.7</v>
      </c>
      <c r="G60" s="227">
        <v>4261.7</v>
      </c>
    </row>
    <row r="61" spans="1:7" s="213" customFormat="1" ht="22.5" customHeight="1">
      <c r="A61" s="345"/>
      <c r="B61" s="343"/>
      <c r="C61" s="340">
        <v>4266</v>
      </c>
      <c r="D61" s="218" t="s">
        <v>210</v>
      </c>
      <c r="E61" s="227"/>
      <c r="F61" s="227"/>
      <c r="G61" s="227"/>
    </row>
    <row r="62" spans="1:7" s="213" customFormat="1" ht="14.25">
      <c r="A62" s="345"/>
      <c r="B62" s="343"/>
      <c r="C62" s="340">
        <v>4267</v>
      </c>
      <c r="D62" s="218" t="s">
        <v>166</v>
      </c>
      <c r="E62" s="227">
        <v>135.9</v>
      </c>
      <c r="F62" s="227">
        <v>136</v>
      </c>
      <c r="G62" s="227">
        <f>'3-Ծախսերի բացվածք'!I83</f>
        <v>135.96</v>
      </c>
    </row>
    <row r="63" spans="1:7" s="213" customFormat="1" ht="14.25">
      <c r="A63" s="345"/>
      <c r="B63" s="343"/>
      <c r="C63" s="340">
        <v>4269</v>
      </c>
      <c r="D63" s="218" t="s">
        <v>45</v>
      </c>
      <c r="E63" s="227"/>
      <c r="F63" s="227"/>
      <c r="G63" s="227"/>
    </row>
    <row r="64" spans="1:7" s="213" customFormat="1" ht="28.5">
      <c r="A64" s="345"/>
      <c r="B64" s="343"/>
      <c r="C64" s="340">
        <v>4511</v>
      </c>
      <c r="D64" s="216" t="s">
        <v>46</v>
      </c>
      <c r="E64" s="227"/>
      <c r="F64" s="227"/>
      <c r="G64" s="227"/>
    </row>
    <row r="65" spans="1:7" s="215" customFormat="1" ht="28.5">
      <c r="A65" s="345"/>
      <c r="B65" s="343"/>
      <c r="C65" s="340">
        <v>4621</v>
      </c>
      <c r="D65" s="216" t="s">
        <v>47</v>
      </c>
      <c r="E65" s="227"/>
      <c r="F65" s="227"/>
      <c r="G65" s="227"/>
    </row>
    <row r="66" spans="1:7" s="215" customFormat="1" ht="28.5">
      <c r="A66" s="345"/>
      <c r="B66" s="343"/>
      <c r="C66" s="340">
        <v>4631</v>
      </c>
      <c r="D66" s="216" t="s">
        <v>185</v>
      </c>
      <c r="E66" s="227"/>
      <c r="F66" s="227"/>
      <c r="G66" s="227"/>
    </row>
    <row r="67" spans="1:7" s="215" customFormat="1" ht="21.75" customHeight="1">
      <c r="A67" s="345"/>
      <c r="B67" s="343"/>
      <c r="C67" s="340">
        <v>4632</v>
      </c>
      <c r="D67" s="216" t="s">
        <v>156</v>
      </c>
      <c r="E67" s="227"/>
      <c r="F67" s="227"/>
      <c r="G67" s="227"/>
    </row>
    <row r="68" spans="1:7" s="215" customFormat="1" ht="42" customHeight="1">
      <c r="A68" s="345"/>
      <c r="B68" s="343"/>
      <c r="C68" s="340" t="s">
        <v>243</v>
      </c>
      <c r="D68" s="216" t="s">
        <v>244</v>
      </c>
      <c r="E68" s="227"/>
      <c r="F68" s="227"/>
      <c r="G68" s="227"/>
    </row>
    <row r="69" spans="1:7" s="215" customFormat="1" ht="48.75" customHeight="1">
      <c r="A69" s="345"/>
      <c r="B69" s="343"/>
      <c r="C69" s="340">
        <v>4638</v>
      </c>
      <c r="D69" s="216" t="s">
        <v>246</v>
      </c>
      <c r="E69" s="227"/>
      <c r="F69" s="227"/>
      <c r="G69" s="227"/>
    </row>
    <row r="70" spans="1:7" s="215" customFormat="1" ht="23.25" customHeight="1">
      <c r="A70" s="345"/>
      <c r="B70" s="343"/>
      <c r="C70" s="340" t="s">
        <v>187</v>
      </c>
      <c r="D70" s="216" t="s">
        <v>188</v>
      </c>
      <c r="E70" s="227"/>
      <c r="F70" s="227"/>
      <c r="G70" s="227"/>
    </row>
    <row r="71" spans="1:7" s="215" customFormat="1" ht="42.75">
      <c r="A71" s="345"/>
      <c r="B71" s="343"/>
      <c r="C71" s="340" t="s">
        <v>257</v>
      </c>
      <c r="D71" s="216" t="s">
        <v>258</v>
      </c>
      <c r="E71" s="227"/>
      <c r="F71" s="227"/>
      <c r="G71" s="227"/>
    </row>
    <row r="72" spans="1:7" s="215" customFormat="1" ht="21" customHeight="1">
      <c r="A72" s="345"/>
      <c r="B72" s="343"/>
      <c r="C72" s="340">
        <v>4729</v>
      </c>
      <c r="D72" s="218" t="s">
        <v>48</v>
      </c>
      <c r="E72" s="231"/>
      <c r="F72" s="231"/>
      <c r="G72" s="227"/>
    </row>
    <row r="73" spans="1:7" s="215" customFormat="1" ht="22.5" customHeight="1">
      <c r="A73" s="345"/>
      <c r="B73" s="343"/>
      <c r="C73" s="340">
        <v>4822</v>
      </c>
      <c r="D73" s="218" t="s">
        <v>49</v>
      </c>
      <c r="E73" s="231"/>
      <c r="F73" s="231"/>
      <c r="G73" s="227"/>
    </row>
    <row r="74" spans="1:7" s="215" customFormat="1" ht="19.5" customHeight="1">
      <c r="A74" s="345"/>
      <c r="B74" s="343"/>
      <c r="C74" s="341">
        <v>4823</v>
      </c>
      <c r="D74" s="296" t="s">
        <v>50</v>
      </c>
      <c r="E74" s="395">
        <f>E76+E77+E78</f>
        <v>127.58</v>
      </c>
      <c r="F74" s="395">
        <f>F76+F77+F78</f>
        <v>203.4</v>
      </c>
      <c r="G74" s="395">
        <f>G76+G77+G78</f>
        <v>203.4</v>
      </c>
    </row>
    <row r="75" spans="1:7" s="215" customFormat="1" ht="14.25">
      <c r="A75" s="345"/>
      <c r="B75" s="343"/>
      <c r="C75" s="340"/>
      <c r="D75" s="217" t="s">
        <v>53</v>
      </c>
      <c r="E75" s="231"/>
      <c r="F75" s="231"/>
      <c r="G75" s="227"/>
    </row>
    <row r="76" spans="1:7" s="213" customFormat="1" ht="27">
      <c r="A76" s="345"/>
      <c r="B76" s="343"/>
      <c r="C76" s="340"/>
      <c r="D76" s="217" t="s">
        <v>155</v>
      </c>
      <c r="E76" s="500">
        <v>19.58</v>
      </c>
      <c r="F76" s="227">
        <v>44</v>
      </c>
      <c r="G76" s="227">
        <v>44</v>
      </c>
    </row>
    <row r="77" spans="1:7" ht="27.75" customHeight="1">
      <c r="A77" s="345"/>
      <c r="B77" s="343"/>
      <c r="C77" s="340"/>
      <c r="D77" s="217" t="s">
        <v>153</v>
      </c>
      <c r="E77" s="231"/>
      <c r="F77" s="227"/>
      <c r="G77" s="227"/>
    </row>
    <row r="78" spans="1:7" ht="21" customHeight="1">
      <c r="A78" s="345"/>
      <c r="B78" s="343"/>
      <c r="C78" s="340"/>
      <c r="D78" s="217" t="s">
        <v>154</v>
      </c>
      <c r="E78" s="227">
        <v>108</v>
      </c>
      <c r="F78" s="227">
        <v>159.4</v>
      </c>
      <c r="G78" s="227">
        <v>159.4</v>
      </c>
    </row>
    <row r="79" spans="1:7" ht="31.5" customHeight="1">
      <c r="A79" s="345"/>
      <c r="B79" s="343"/>
      <c r="C79" s="340" t="s">
        <v>209</v>
      </c>
      <c r="D79" s="218" t="s">
        <v>218</v>
      </c>
      <c r="E79" s="231"/>
      <c r="F79" s="231"/>
      <c r="G79" s="227"/>
    </row>
    <row r="80" spans="1:7" ht="31.5" customHeight="1">
      <c r="A80" s="345"/>
      <c r="B80" s="343"/>
      <c r="C80" s="340">
        <v>4831</v>
      </c>
      <c r="D80" s="216" t="s">
        <v>259</v>
      </c>
      <c r="E80" s="231"/>
      <c r="F80" s="231"/>
      <c r="G80" s="227"/>
    </row>
    <row r="81" spans="1:7" ht="43.5" customHeight="1">
      <c r="A81" s="345"/>
      <c r="B81" s="343"/>
      <c r="C81" s="340">
        <v>4851</v>
      </c>
      <c r="D81" s="216" t="s">
        <v>260</v>
      </c>
      <c r="E81" s="231"/>
      <c r="F81" s="231"/>
      <c r="G81" s="227"/>
    </row>
    <row r="82" spans="1:7" s="228" customFormat="1" ht="19.5" customHeight="1">
      <c r="A82" s="345"/>
      <c r="B82" s="343"/>
      <c r="C82" s="340">
        <v>4861</v>
      </c>
      <c r="D82" s="218" t="s">
        <v>51</v>
      </c>
      <c r="E82" s="231"/>
      <c r="F82" s="231"/>
      <c r="G82" s="227"/>
    </row>
    <row r="83" spans="1:7" ht="19.5" customHeight="1">
      <c r="A83" s="346"/>
      <c r="B83" s="344"/>
      <c r="C83" s="340">
        <v>4891</v>
      </c>
      <c r="D83" s="218" t="s">
        <v>52</v>
      </c>
      <c r="E83" s="227"/>
      <c r="F83" s="227"/>
      <c r="G83" s="227"/>
    </row>
    <row r="84" spans="4:7" ht="9.75" customHeight="1">
      <c r="D84" s="295"/>
      <c r="E84" s="326"/>
      <c r="F84" s="326"/>
      <c r="G84" s="326"/>
    </row>
    <row r="85" spans="1:7" s="23" customFormat="1" ht="249.75" customHeight="1">
      <c r="A85" s="229" t="s">
        <v>214</v>
      </c>
      <c r="B85" s="229"/>
      <c r="C85" s="229"/>
      <c r="D85" s="32" t="s">
        <v>54</v>
      </c>
      <c r="E85" s="22">
        <f>SUM(E88:E92)</f>
        <v>0</v>
      </c>
      <c r="F85" s="22">
        <f>SUM(F88:F92)</f>
        <v>0</v>
      </c>
      <c r="G85" s="22">
        <f>SUM(G86:G92)</f>
        <v>261043</v>
      </c>
    </row>
    <row r="86" spans="1:7" s="15" customFormat="1" ht="38.25" customHeight="1">
      <c r="A86" s="659" t="s">
        <v>215</v>
      </c>
      <c r="B86" s="659" t="s">
        <v>216</v>
      </c>
      <c r="C86" s="230"/>
      <c r="D86" s="12" t="s">
        <v>53</v>
      </c>
      <c r="E86" s="13"/>
      <c r="F86" s="13"/>
      <c r="G86" s="13"/>
    </row>
    <row r="87" spans="1:7" s="15" customFormat="1" ht="32.25" customHeight="1">
      <c r="A87" s="347">
        <v>1054</v>
      </c>
      <c r="B87" s="347">
        <v>31001</v>
      </c>
      <c r="C87" s="230">
        <v>5113</v>
      </c>
      <c r="D87" s="16" t="s">
        <v>847</v>
      </c>
      <c r="E87" s="13"/>
      <c r="F87" s="13"/>
      <c r="G87" s="13">
        <v>261043</v>
      </c>
    </row>
    <row r="88" spans="1:7" s="29" customFormat="1" ht="18.75" customHeight="1">
      <c r="A88" s="627"/>
      <c r="B88" s="627"/>
      <c r="C88" s="204">
        <v>5121</v>
      </c>
      <c r="D88" s="16" t="s">
        <v>55</v>
      </c>
      <c r="E88" s="33"/>
      <c r="F88" s="33"/>
      <c r="G88" s="191"/>
    </row>
    <row r="89" spans="1:7" s="29" customFormat="1" ht="18.75" customHeight="1">
      <c r="A89" s="345"/>
      <c r="B89" s="345"/>
      <c r="C89" s="204">
        <v>5122</v>
      </c>
      <c r="D89" s="16" t="s">
        <v>56</v>
      </c>
      <c r="E89" s="33"/>
      <c r="F89" s="33"/>
      <c r="G89" s="191"/>
    </row>
    <row r="90" spans="1:7" s="29" customFormat="1" ht="19.5" customHeight="1">
      <c r="A90" s="345"/>
      <c r="B90" s="345"/>
      <c r="C90" s="204">
        <v>5129</v>
      </c>
      <c r="D90" s="16" t="s">
        <v>57</v>
      </c>
      <c r="E90" s="33"/>
      <c r="F90" s="33"/>
      <c r="G90" s="191"/>
    </row>
    <row r="91" spans="1:7" s="29" customFormat="1" ht="18" customHeight="1">
      <c r="A91" s="345"/>
      <c r="B91" s="345"/>
      <c r="C91" s="204">
        <v>5131</v>
      </c>
      <c r="D91" s="16" t="s">
        <v>245</v>
      </c>
      <c r="E91" s="33"/>
      <c r="F91" s="33"/>
      <c r="G91" s="191"/>
    </row>
    <row r="92" spans="1:7" s="29" customFormat="1" ht="24.75" customHeight="1">
      <c r="A92" s="346"/>
      <c r="B92" s="346"/>
      <c r="C92" s="204">
        <v>5132</v>
      </c>
      <c r="D92" s="16" t="s">
        <v>58</v>
      </c>
      <c r="E92" s="33"/>
      <c r="F92" s="33"/>
      <c r="G92" s="191"/>
    </row>
    <row r="95" ht="13.5">
      <c r="D95" s="626"/>
    </row>
  </sheetData>
  <sheetProtection/>
  <mergeCells count="11">
    <mergeCell ref="B17:B18"/>
    <mergeCell ref="I51:N51"/>
    <mergeCell ref="A2:G2"/>
    <mergeCell ref="D3:G3"/>
    <mergeCell ref="A6:B6"/>
    <mergeCell ref="A7:B7"/>
    <mergeCell ref="C7:D7"/>
    <mergeCell ref="A10:A18"/>
    <mergeCell ref="B10:B12"/>
    <mergeCell ref="B13:B14"/>
    <mergeCell ref="B15:B16"/>
  </mergeCells>
  <conditionalFormatting sqref="C8:D8">
    <cfRule type="cellIs" priority="2" dxfId="0" operator="equal" stopIfTrue="1">
      <formula>0</formula>
    </cfRule>
  </conditionalFormatting>
  <conditionalFormatting sqref="D14:D15">
    <cfRule type="cellIs" priority="1" dxfId="0" operator="equal" stopIfTrue="1">
      <formula>0</formula>
    </cfRule>
  </conditionalFormatting>
  <printOptions/>
  <pageMargins left="0.2" right="0.17" top="0.19" bottom="0.16" header="0.18" footer="0.16"/>
  <pageSetup horizontalDpi="600" verticalDpi="600" orientation="landscape" paperSize="9" scale="75" r:id="rId1"/>
  <headerFooter alignWithMargins="0">
    <oddFooter>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60">
      <selection activeCell="N46" sqref="N46:P49"/>
    </sheetView>
  </sheetViews>
  <sheetFormatPr defaultColWidth="9.140625" defaultRowHeight="12.75"/>
  <cols>
    <col min="1" max="1" width="4.8515625" style="3" customWidth="1"/>
    <col min="2" max="2" width="49.421875" style="4" customWidth="1"/>
    <col min="3" max="3" width="11.57421875" style="4" customWidth="1"/>
    <col min="4" max="4" width="10.28125" style="4" customWidth="1"/>
    <col min="5" max="5" width="10.57421875" style="4" customWidth="1"/>
    <col min="6" max="6" width="20.7109375" style="4" customWidth="1"/>
    <col min="7" max="7" width="8.140625" style="4" bestFit="1" customWidth="1"/>
    <col min="8" max="8" width="11.140625" style="4" customWidth="1"/>
    <col min="9" max="9" width="20.8515625" style="4" customWidth="1"/>
    <col min="10" max="10" width="8.140625" style="4" bestFit="1" customWidth="1"/>
    <col min="11" max="11" width="12.140625" style="4" customWidth="1"/>
    <col min="12" max="12" width="14.421875" style="4" customWidth="1"/>
    <col min="13" max="13" width="13.57421875" style="4" customWidth="1"/>
    <col min="14" max="14" width="13.421875" style="4" bestFit="1" customWidth="1"/>
    <col min="15" max="16" width="10.00390625" style="4" bestFit="1" customWidth="1"/>
    <col min="17" max="16384" width="9.140625" style="4" customWidth="1"/>
  </cols>
  <sheetData>
    <row r="1" spans="1:12" s="27" customFormat="1" ht="13.5">
      <c r="A1" s="236"/>
      <c r="B1" s="2"/>
      <c r="C1" s="2"/>
      <c r="D1" s="2"/>
      <c r="E1" s="2"/>
      <c r="F1" s="87"/>
      <c r="G1" s="87"/>
      <c r="H1" s="2"/>
      <c r="I1" s="26"/>
      <c r="J1" s="26"/>
      <c r="K1" s="2"/>
      <c r="L1" s="98" t="s">
        <v>198</v>
      </c>
    </row>
    <row r="2" spans="1:12" s="27" customFormat="1" ht="12.75" customHeight="1">
      <c r="A2" s="236"/>
      <c r="B2" s="2"/>
      <c r="C2" s="2"/>
      <c r="D2" s="2"/>
      <c r="E2" s="2"/>
      <c r="F2" s="87"/>
      <c r="G2" s="87"/>
      <c r="H2" s="2"/>
      <c r="I2" s="682" t="s">
        <v>10</v>
      </c>
      <c r="J2" s="682"/>
      <c r="K2" s="682"/>
      <c r="L2" s="682"/>
    </row>
    <row r="3" spans="1:7" s="27" customFormat="1" ht="27.75" thickBot="1">
      <c r="A3" s="26"/>
      <c r="B3" s="158" t="s">
        <v>454</v>
      </c>
      <c r="C3" s="158"/>
      <c r="D3" s="158"/>
      <c r="E3" s="158"/>
      <c r="F3" s="158"/>
      <c r="G3" s="158"/>
    </row>
    <row r="4" spans="1:15" s="139" customFormat="1" ht="17.25" customHeight="1">
      <c r="A4" s="26"/>
      <c r="B4" s="311" t="s">
        <v>11</v>
      </c>
      <c r="F4" s="304"/>
      <c r="G4" s="349"/>
      <c r="I4" s="138"/>
      <c r="J4" s="138"/>
      <c r="L4" s="138"/>
      <c r="M4" s="138"/>
      <c r="N4" s="138"/>
      <c r="O4" s="138"/>
    </row>
    <row r="5" spans="1:12" s="27" customFormat="1" ht="54.75" customHeight="1">
      <c r="A5" s="312" t="s">
        <v>319</v>
      </c>
      <c r="B5" s="318"/>
      <c r="C5" s="305"/>
      <c r="D5" s="305"/>
      <c r="E5" s="305"/>
      <c r="F5" s="305"/>
      <c r="G5" s="305"/>
      <c r="H5" s="305"/>
      <c r="I5" s="305"/>
      <c r="J5" s="305"/>
      <c r="K5" s="305"/>
      <c r="L5" s="99"/>
    </row>
    <row r="6" spans="1:11" s="27" customFormat="1" ht="14.25" thickBot="1">
      <c r="A6" s="26"/>
      <c r="J6" s="285"/>
      <c r="K6" s="277"/>
    </row>
    <row r="7" spans="1:12" s="68" customFormat="1" ht="46.5" customHeight="1" thickBot="1">
      <c r="A7" s="306"/>
      <c r="B7" s="307"/>
      <c r="C7" s="308"/>
      <c r="D7" s="684" t="s">
        <v>320</v>
      </c>
      <c r="E7" s="685"/>
      <c r="F7" s="686"/>
      <c r="G7" s="684" t="s">
        <v>321</v>
      </c>
      <c r="H7" s="685"/>
      <c r="I7" s="686"/>
      <c r="J7" s="687" t="s">
        <v>322</v>
      </c>
      <c r="K7" s="688"/>
      <c r="L7" s="689"/>
    </row>
    <row r="8" spans="1:12" s="85" customFormat="1" ht="55.5" customHeight="1" thickBot="1">
      <c r="A8" s="309" t="s">
        <v>6</v>
      </c>
      <c r="B8" s="306" t="s">
        <v>193</v>
      </c>
      <c r="C8" s="310" t="s">
        <v>197</v>
      </c>
      <c r="D8" s="299" t="s">
        <v>114</v>
      </c>
      <c r="E8" s="299" t="s">
        <v>409</v>
      </c>
      <c r="F8" s="293" t="s">
        <v>410</v>
      </c>
      <c r="G8" s="299" t="s">
        <v>114</v>
      </c>
      <c r="H8" s="299" t="s">
        <v>409</v>
      </c>
      <c r="I8" s="293" t="s">
        <v>410</v>
      </c>
      <c r="J8" s="299" t="s">
        <v>114</v>
      </c>
      <c r="K8" s="299" t="s">
        <v>409</v>
      </c>
      <c r="L8" s="293" t="s">
        <v>410</v>
      </c>
    </row>
    <row r="9" spans="1:12" s="86" customFormat="1" ht="13.5" thickBot="1">
      <c r="A9" s="160">
        <v>1</v>
      </c>
      <c r="B9" s="319">
        <v>2</v>
      </c>
      <c r="C9" s="159">
        <v>3</v>
      </c>
      <c r="D9" s="161">
        <v>4</v>
      </c>
      <c r="E9" s="161"/>
      <c r="F9" s="161">
        <v>5</v>
      </c>
      <c r="G9" s="161">
        <v>6</v>
      </c>
      <c r="H9" s="161"/>
      <c r="I9" s="161">
        <v>7</v>
      </c>
      <c r="J9" s="161">
        <v>8</v>
      </c>
      <c r="K9" s="161"/>
      <c r="L9" s="161">
        <v>9</v>
      </c>
    </row>
    <row r="10" spans="1:16" s="162" customFormat="1" ht="22.5" customHeight="1">
      <c r="A10" s="300">
        <v>1</v>
      </c>
      <c r="B10" s="320" t="s">
        <v>21</v>
      </c>
      <c r="C10" s="301">
        <v>4212</v>
      </c>
      <c r="D10" s="301"/>
      <c r="E10" s="301"/>
      <c r="F10" s="302">
        <f>SUM(F12:F12)</f>
        <v>5746.1</v>
      </c>
      <c r="G10" s="302"/>
      <c r="H10" s="301"/>
      <c r="I10" s="302">
        <f>SUM(I12:I12)</f>
        <v>5746.1</v>
      </c>
      <c r="J10" s="302">
        <f>G10-D10</f>
        <v>0</v>
      </c>
      <c r="K10" s="301"/>
      <c r="L10" s="302">
        <f>I10-F10</f>
        <v>0</v>
      </c>
      <c r="M10" s="516"/>
      <c r="N10" s="516"/>
      <c r="O10" s="516"/>
      <c r="P10" s="516"/>
    </row>
    <row r="11" spans="1:14" s="35" customFormat="1" ht="13.5">
      <c r="A11" s="61"/>
      <c r="B11" s="303" t="s">
        <v>86</v>
      </c>
      <c r="C11" s="61"/>
      <c r="D11" s="61"/>
      <c r="E11" s="61"/>
      <c r="F11" s="63"/>
      <c r="G11" s="63"/>
      <c r="H11" s="61"/>
      <c r="I11" s="82"/>
      <c r="J11" s="82"/>
      <c r="K11" s="61"/>
      <c r="L11" s="82"/>
      <c r="M11" s="650"/>
      <c r="N11" s="650"/>
    </row>
    <row r="12" spans="1:16" s="35" customFormat="1" ht="14.25">
      <c r="A12" s="61">
        <v>1</v>
      </c>
      <c r="B12" s="501" t="s">
        <v>417</v>
      </c>
      <c r="C12" s="61" t="s">
        <v>1</v>
      </c>
      <c r="D12" s="61">
        <v>1</v>
      </c>
      <c r="E12" s="61">
        <v>5746100</v>
      </c>
      <c r="F12" s="63">
        <f>E12*D12/1000</f>
        <v>5746.1</v>
      </c>
      <c r="G12" s="63">
        <v>1</v>
      </c>
      <c r="H12" s="61">
        <v>5746100</v>
      </c>
      <c r="I12" s="63">
        <f>H12*G12/1000</f>
        <v>5746.1</v>
      </c>
      <c r="J12" s="63">
        <f>G12-D12</f>
        <v>0</v>
      </c>
      <c r="K12" s="61">
        <f>E12-H12</f>
        <v>0</v>
      </c>
      <c r="L12" s="63">
        <f>F12-I12</f>
        <v>0</v>
      </c>
      <c r="M12" s="650"/>
      <c r="N12" s="614"/>
      <c r="P12" s="586"/>
    </row>
    <row r="13" spans="1:12" s="162" customFormat="1" ht="23.25" customHeight="1">
      <c r="A13" s="300">
        <v>2</v>
      </c>
      <c r="B13" s="320" t="s">
        <v>22</v>
      </c>
      <c r="C13" s="301">
        <v>4213</v>
      </c>
      <c r="D13" s="301"/>
      <c r="E13" s="301"/>
      <c r="F13" s="302">
        <f>F15</f>
        <v>68.3</v>
      </c>
      <c r="G13" s="302"/>
      <c r="H13" s="301"/>
      <c r="I13" s="302">
        <f>I15</f>
        <v>68.3</v>
      </c>
      <c r="J13" s="302">
        <f>G13-D13</f>
        <v>0</v>
      </c>
      <c r="K13" s="301"/>
      <c r="L13" s="302">
        <f>I13-F13</f>
        <v>0</v>
      </c>
    </row>
    <row r="14" spans="1:15" s="35" customFormat="1" ht="13.5">
      <c r="A14" s="163"/>
      <c r="B14" s="303" t="s">
        <v>86</v>
      </c>
      <c r="C14" s="61"/>
      <c r="D14" s="61"/>
      <c r="E14" s="61"/>
      <c r="F14" s="63"/>
      <c r="G14" s="63"/>
      <c r="H14" s="61"/>
      <c r="I14" s="82"/>
      <c r="J14" s="82"/>
      <c r="K14" s="61"/>
      <c r="L14" s="82"/>
      <c r="M14" s="586"/>
      <c r="N14" s="586"/>
      <c r="O14" s="586"/>
    </row>
    <row r="15" spans="1:12" s="35" customFormat="1" ht="13.5">
      <c r="A15" s="317">
        <v>1</v>
      </c>
      <c r="B15" s="502" t="s">
        <v>418</v>
      </c>
      <c r="C15" s="61" t="s">
        <v>1</v>
      </c>
      <c r="D15" s="61">
        <v>1</v>
      </c>
      <c r="E15" s="61">
        <v>68300</v>
      </c>
      <c r="F15" s="63">
        <f>E15*D15/1000</f>
        <v>68.3</v>
      </c>
      <c r="G15" s="63">
        <v>1</v>
      </c>
      <c r="H15" s="61">
        <v>68300</v>
      </c>
      <c r="I15" s="63">
        <f>H15*G15/1000</f>
        <v>68.3</v>
      </c>
      <c r="J15" s="63">
        <f>G15-D15</f>
        <v>0</v>
      </c>
      <c r="K15" s="61">
        <f>E15-H15</f>
        <v>0</v>
      </c>
      <c r="L15" s="61">
        <f>F15-I15</f>
        <v>0</v>
      </c>
    </row>
    <row r="16" spans="1:16" s="162" customFormat="1" ht="23.25" customHeight="1">
      <c r="A16" s="300">
        <v>3</v>
      </c>
      <c r="B16" s="320" t="s">
        <v>24</v>
      </c>
      <c r="C16" s="301">
        <v>4214</v>
      </c>
      <c r="D16" s="301"/>
      <c r="E16" s="301"/>
      <c r="F16" s="302">
        <f>SUM(F18:F23)</f>
        <v>2117.2</v>
      </c>
      <c r="G16" s="302"/>
      <c r="H16" s="302"/>
      <c r="I16" s="584">
        <f>SUM(I18:I23)</f>
        <v>2117.2</v>
      </c>
      <c r="J16" s="302">
        <f>G16-D16</f>
        <v>0</v>
      </c>
      <c r="K16" s="301"/>
      <c r="L16" s="302">
        <f>I16-F16</f>
        <v>0</v>
      </c>
      <c r="O16" s="516"/>
      <c r="P16" s="507"/>
    </row>
    <row r="17" spans="1:16" s="35" customFormat="1" ht="13.5">
      <c r="A17" s="163"/>
      <c r="B17" s="303" t="s">
        <v>86</v>
      </c>
      <c r="C17" s="61"/>
      <c r="D17" s="61"/>
      <c r="E17" s="61"/>
      <c r="F17" s="63"/>
      <c r="G17" s="63"/>
      <c r="H17" s="61"/>
      <c r="I17" s="82"/>
      <c r="J17" s="82"/>
      <c r="K17" s="61"/>
      <c r="L17" s="82"/>
      <c r="P17" s="508"/>
    </row>
    <row r="18" spans="1:17" s="35" customFormat="1" ht="13.5">
      <c r="A18" s="317">
        <v>1</v>
      </c>
      <c r="B18" s="503" t="s">
        <v>419</v>
      </c>
      <c r="C18" s="61" t="s">
        <v>1</v>
      </c>
      <c r="D18" s="61">
        <v>1</v>
      </c>
      <c r="E18" s="61">
        <v>130000</v>
      </c>
      <c r="F18" s="63">
        <f aca="true" t="shared" si="0" ref="F18:F23">E18*D18/1000</f>
        <v>130</v>
      </c>
      <c r="G18" s="63">
        <v>1</v>
      </c>
      <c r="H18" s="61">
        <v>50360</v>
      </c>
      <c r="I18" s="583">
        <f aca="true" t="shared" si="1" ref="I18:I23">H18*G18/1000</f>
        <v>50.36</v>
      </c>
      <c r="J18" s="63">
        <f aca="true" t="shared" si="2" ref="J18:J24">G18-D18</f>
        <v>0</v>
      </c>
      <c r="K18" s="583">
        <f aca="true" t="shared" si="3" ref="K18:K23">E18-H18</f>
        <v>79640</v>
      </c>
      <c r="L18" s="583">
        <f aca="true" t="shared" si="4" ref="L18:L24">I18-F18</f>
        <v>-79.64</v>
      </c>
      <c r="O18" s="522"/>
      <c r="P18" s="522"/>
      <c r="Q18" s="522"/>
    </row>
    <row r="19" spans="1:17" s="35" customFormat="1" ht="13.5">
      <c r="A19" s="61">
        <v>2</v>
      </c>
      <c r="B19" s="503" t="s">
        <v>420</v>
      </c>
      <c r="C19" s="61" t="s">
        <v>1</v>
      </c>
      <c r="D19" s="61">
        <v>1</v>
      </c>
      <c r="E19" s="61">
        <v>810000</v>
      </c>
      <c r="F19" s="63">
        <f t="shared" si="0"/>
        <v>810</v>
      </c>
      <c r="G19" s="63">
        <v>1</v>
      </c>
      <c r="H19" s="61">
        <v>889640</v>
      </c>
      <c r="I19" s="63">
        <f t="shared" si="1"/>
        <v>889.64</v>
      </c>
      <c r="J19" s="63">
        <f t="shared" si="2"/>
        <v>0</v>
      </c>
      <c r="K19" s="583">
        <f t="shared" si="3"/>
        <v>-79640</v>
      </c>
      <c r="L19" s="583">
        <f t="shared" si="4"/>
        <v>79.63999999999999</v>
      </c>
      <c r="O19" s="522"/>
      <c r="P19" s="522"/>
      <c r="Q19" s="522"/>
    </row>
    <row r="20" spans="1:17" s="35" customFormat="1" ht="13.5">
      <c r="A20" s="61">
        <v>3</v>
      </c>
      <c r="B20" s="503" t="s">
        <v>421</v>
      </c>
      <c r="C20" s="61" t="s">
        <v>1</v>
      </c>
      <c r="D20" s="61">
        <v>1</v>
      </c>
      <c r="E20" s="61">
        <v>606000</v>
      </c>
      <c r="F20" s="63">
        <f t="shared" si="0"/>
        <v>606</v>
      </c>
      <c r="G20" s="63">
        <v>1</v>
      </c>
      <c r="H20" s="61">
        <v>606000</v>
      </c>
      <c r="I20" s="583">
        <f t="shared" si="1"/>
        <v>606</v>
      </c>
      <c r="J20" s="63">
        <f t="shared" si="2"/>
        <v>0</v>
      </c>
      <c r="K20" s="583">
        <f t="shared" si="3"/>
        <v>0</v>
      </c>
      <c r="L20" s="63">
        <f t="shared" si="4"/>
        <v>0</v>
      </c>
      <c r="O20" s="522"/>
      <c r="P20" s="522"/>
      <c r="Q20" s="522"/>
    </row>
    <row r="21" spans="1:12" s="35" customFormat="1" ht="13.5">
      <c r="A21" s="61">
        <v>4</v>
      </c>
      <c r="B21" s="504" t="s">
        <v>422</v>
      </c>
      <c r="C21" s="61" t="s">
        <v>1</v>
      </c>
      <c r="D21" s="61">
        <v>1</v>
      </c>
      <c r="E21" s="61">
        <v>475200</v>
      </c>
      <c r="F21" s="63">
        <f t="shared" si="0"/>
        <v>475.2</v>
      </c>
      <c r="G21" s="63">
        <v>1</v>
      </c>
      <c r="H21" s="61">
        <v>475200</v>
      </c>
      <c r="I21" s="583">
        <f t="shared" si="1"/>
        <v>475.2</v>
      </c>
      <c r="J21" s="63">
        <f t="shared" si="2"/>
        <v>0</v>
      </c>
      <c r="K21" s="583">
        <f t="shared" si="3"/>
        <v>0</v>
      </c>
      <c r="L21" s="63">
        <f t="shared" si="4"/>
        <v>0</v>
      </c>
    </row>
    <row r="22" spans="1:12" s="35" customFormat="1" ht="13.5">
      <c r="A22" s="61">
        <v>5</v>
      </c>
      <c r="B22" s="503" t="s">
        <v>423</v>
      </c>
      <c r="C22" s="61" t="s">
        <v>1</v>
      </c>
      <c r="D22" s="61">
        <v>1</v>
      </c>
      <c r="E22" s="61">
        <v>12000</v>
      </c>
      <c r="F22" s="63">
        <f t="shared" si="0"/>
        <v>12</v>
      </c>
      <c r="G22" s="63">
        <v>1</v>
      </c>
      <c r="H22" s="61">
        <v>12000</v>
      </c>
      <c r="I22" s="583">
        <f t="shared" si="1"/>
        <v>12</v>
      </c>
      <c r="J22" s="63">
        <f t="shared" si="2"/>
        <v>0</v>
      </c>
      <c r="K22" s="583">
        <f t="shared" si="3"/>
        <v>0</v>
      </c>
      <c r="L22" s="63">
        <f t="shared" si="4"/>
        <v>0</v>
      </c>
    </row>
    <row r="23" spans="1:12" s="35" customFormat="1" ht="13.5">
      <c r="A23" s="61">
        <v>6</v>
      </c>
      <c r="B23" s="503" t="s">
        <v>471</v>
      </c>
      <c r="C23" s="61" t="s">
        <v>1</v>
      </c>
      <c r="D23" s="61">
        <v>1</v>
      </c>
      <c r="E23" s="61">
        <v>84000</v>
      </c>
      <c r="F23" s="63">
        <f t="shared" si="0"/>
        <v>84</v>
      </c>
      <c r="G23" s="63">
        <v>1</v>
      </c>
      <c r="H23" s="61">
        <v>84000</v>
      </c>
      <c r="I23" s="583">
        <f t="shared" si="1"/>
        <v>84</v>
      </c>
      <c r="J23" s="63">
        <f t="shared" si="2"/>
        <v>0</v>
      </c>
      <c r="K23" s="583">
        <f t="shared" si="3"/>
        <v>0</v>
      </c>
      <c r="L23" s="63">
        <f t="shared" si="4"/>
        <v>0</v>
      </c>
    </row>
    <row r="24" spans="1:12" s="162" customFormat="1" ht="23.25" customHeight="1">
      <c r="A24" s="300">
        <v>4</v>
      </c>
      <c r="B24" s="320" t="s">
        <v>25</v>
      </c>
      <c r="C24" s="301">
        <v>4215</v>
      </c>
      <c r="D24" s="301"/>
      <c r="E24" s="301"/>
      <c r="F24" s="302">
        <f>F26</f>
        <v>145</v>
      </c>
      <c r="G24" s="302"/>
      <c r="H24" s="301"/>
      <c r="I24" s="302">
        <f>I26</f>
        <v>145</v>
      </c>
      <c r="J24" s="302">
        <f t="shared" si="2"/>
        <v>0</v>
      </c>
      <c r="K24" s="301"/>
      <c r="L24" s="302">
        <f t="shared" si="4"/>
        <v>0</v>
      </c>
    </row>
    <row r="25" spans="1:12" s="35" customFormat="1" ht="13.5">
      <c r="A25" s="163"/>
      <c r="B25" s="303" t="s">
        <v>86</v>
      </c>
      <c r="C25" s="61"/>
      <c r="D25" s="61"/>
      <c r="E25" s="61"/>
      <c r="F25" s="63"/>
      <c r="G25" s="63"/>
      <c r="H25" s="61"/>
      <c r="I25" s="82"/>
      <c r="J25" s="82"/>
      <c r="K25" s="61"/>
      <c r="L25" s="82"/>
    </row>
    <row r="26" spans="1:12" s="35" customFormat="1" ht="27">
      <c r="A26" s="317">
        <v>1</v>
      </c>
      <c r="B26" s="502" t="s">
        <v>424</v>
      </c>
      <c r="C26" s="61" t="s">
        <v>1</v>
      </c>
      <c r="D26" s="61">
        <v>1</v>
      </c>
      <c r="E26" s="61">
        <v>145000</v>
      </c>
      <c r="F26" s="63">
        <f>E26*D26/1000</f>
        <v>145</v>
      </c>
      <c r="G26" s="63">
        <v>1</v>
      </c>
      <c r="H26" s="61">
        <v>145000</v>
      </c>
      <c r="I26" s="63">
        <f>H26*G26/1000</f>
        <v>145</v>
      </c>
      <c r="J26" s="82"/>
      <c r="K26" s="583">
        <f>E26-H26</f>
        <v>0</v>
      </c>
      <c r="L26" s="63">
        <f>I26-F26</f>
        <v>0</v>
      </c>
    </row>
    <row r="27" spans="1:12" s="162" customFormat="1" ht="23.25" customHeight="1">
      <c r="A27" s="300">
        <v>5</v>
      </c>
      <c r="B27" s="320" t="s">
        <v>31</v>
      </c>
      <c r="C27" s="301">
        <v>4232</v>
      </c>
      <c r="D27" s="301"/>
      <c r="E27" s="301"/>
      <c r="F27" s="302">
        <f>SUM(F29:F31)</f>
        <v>1397</v>
      </c>
      <c r="G27" s="302"/>
      <c r="H27" s="301"/>
      <c r="I27" s="302">
        <f>SUM(I29:I31)</f>
        <v>1397</v>
      </c>
      <c r="J27" s="302">
        <f>G27-D27</f>
        <v>0</v>
      </c>
      <c r="K27" s="301"/>
      <c r="L27" s="302">
        <f>I27-F27</f>
        <v>0</v>
      </c>
    </row>
    <row r="28" spans="1:12" s="35" customFormat="1" ht="13.5">
      <c r="A28" s="163"/>
      <c r="B28" s="303" t="s">
        <v>86</v>
      </c>
      <c r="C28" s="61"/>
      <c r="D28" s="61"/>
      <c r="E28" s="61"/>
      <c r="F28" s="63"/>
      <c r="G28" s="63"/>
      <c r="H28" s="61"/>
      <c r="I28" s="82"/>
      <c r="J28" s="82"/>
      <c r="K28" s="61"/>
      <c r="L28" s="82"/>
    </row>
    <row r="29" spans="1:12" s="35" customFormat="1" ht="27">
      <c r="A29" s="317">
        <v>1</v>
      </c>
      <c r="B29" s="502" t="s">
        <v>425</v>
      </c>
      <c r="C29" s="61" t="s">
        <v>1</v>
      </c>
      <c r="D29" s="61">
        <v>1</v>
      </c>
      <c r="E29" s="61">
        <v>200000</v>
      </c>
      <c r="F29" s="63">
        <f aca="true" t="shared" si="5" ref="F29:F34">E29*D29/1000</f>
        <v>200</v>
      </c>
      <c r="G29" s="61">
        <v>1</v>
      </c>
      <c r="H29" s="61">
        <v>200000</v>
      </c>
      <c r="I29" s="63">
        <f>H29*G29/1000</f>
        <v>200</v>
      </c>
      <c r="J29" s="63">
        <f>G29-D29</f>
        <v>0</v>
      </c>
      <c r="K29" s="61">
        <f>E29-H29</f>
        <v>0</v>
      </c>
      <c r="L29" s="63">
        <f>I29-F29</f>
        <v>0</v>
      </c>
    </row>
    <row r="30" spans="1:16" s="35" customFormat="1" ht="40.5">
      <c r="A30" s="61">
        <v>2</v>
      </c>
      <c r="B30" s="502" t="s">
        <v>426</v>
      </c>
      <c r="C30" s="61" t="s">
        <v>1</v>
      </c>
      <c r="D30" s="61">
        <v>1</v>
      </c>
      <c r="E30" s="61">
        <v>45000</v>
      </c>
      <c r="F30" s="63">
        <f t="shared" si="5"/>
        <v>45</v>
      </c>
      <c r="G30" s="61">
        <v>1</v>
      </c>
      <c r="H30" s="61">
        <v>45000</v>
      </c>
      <c r="I30" s="63">
        <f>H30*G30/1000</f>
        <v>45</v>
      </c>
      <c r="J30" s="63">
        <f>G30-D30</f>
        <v>0</v>
      </c>
      <c r="K30" s="61">
        <f>E30-H30</f>
        <v>0</v>
      </c>
      <c r="L30" s="63">
        <f>I30-F30</f>
        <v>0</v>
      </c>
      <c r="N30" s="511"/>
      <c r="O30" s="511"/>
      <c r="P30" s="512"/>
    </row>
    <row r="31" spans="1:16" s="35" customFormat="1" ht="27">
      <c r="A31" s="61">
        <v>3</v>
      </c>
      <c r="B31" s="502" t="s">
        <v>427</v>
      </c>
      <c r="C31" s="61" t="s">
        <v>1</v>
      </c>
      <c r="D31" s="61">
        <v>1</v>
      </c>
      <c r="E31" s="61">
        <v>1152000</v>
      </c>
      <c r="F31" s="63">
        <f t="shared" si="5"/>
        <v>1152</v>
      </c>
      <c r="G31" s="61">
        <v>1</v>
      </c>
      <c r="H31" s="61">
        <v>1152000</v>
      </c>
      <c r="I31" s="63">
        <f>H31*G31/1000</f>
        <v>1152</v>
      </c>
      <c r="J31" s="63">
        <f>G31-D31</f>
        <v>0</v>
      </c>
      <c r="K31" s="61">
        <f>E31-H31</f>
        <v>0</v>
      </c>
      <c r="L31" s="63">
        <f>I31-F31</f>
        <v>0</v>
      </c>
      <c r="N31" s="511"/>
      <c r="O31" s="511"/>
      <c r="P31" s="512"/>
    </row>
    <row r="32" spans="1:16" s="35" customFormat="1" ht="28.5">
      <c r="A32" s="320">
        <v>6</v>
      </c>
      <c r="B32" s="505" t="s">
        <v>186</v>
      </c>
      <c r="C32" s="320">
        <v>4233</v>
      </c>
      <c r="D32" s="320"/>
      <c r="E32" s="320"/>
      <c r="F32" s="515">
        <f>F34</f>
        <v>34.6</v>
      </c>
      <c r="G32" s="320"/>
      <c r="H32" s="320"/>
      <c r="I32" s="515">
        <f>I34</f>
        <v>100.8</v>
      </c>
      <c r="J32" s="320"/>
      <c r="K32" s="320"/>
      <c r="L32" s="302">
        <f>I32-F32</f>
        <v>66.19999999999999</v>
      </c>
      <c r="N32" s="511"/>
      <c r="O32" s="233"/>
      <c r="P32" s="512"/>
    </row>
    <row r="33" spans="1:16" s="35" customFormat="1" ht="13.5">
      <c r="A33" s="61"/>
      <c r="B33" s="303" t="s">
        <v>86</v>
      </c>
      <c r="C33" s="61"/>
      <c r="D33" s="61"/>
      <c r="E33" s="61"/>
      <c r="F33" s="63"/>
      <c r="G33" s="63"/>
      <c r="H33" s="61"/>
      <c r="I33" s="63"/>
      <c r="J33" s="63"/>
      <c r="K33" s="61"/>
      <c r="L33" s="63"/>
      <c r="N33" s="233"/>
      <c r="P33" s="233"/>
    </row>
    <row r="34" spans="1:15" s="35" customFormat="1" ht="27">
      <c r="A34" s="61">
        <v>1</v>
      </c>
      <c r="B34" s="510" t="s">
        <v>186</v>
      </c>
      <c r="C34" s="61" t="s">
        <v>1</v>
      </c>
      <c r="D34" s="61">
        <v>1</v>
      </c>
      <c r="E34" s="61">
        <v>34600</v>
      </c>
      <c r="F34" s="63">
        <f t="shared" si="5"/>
        <v>34.6</v>
      </c>
      <c r="G34" s="63">
        <v>1</v>
      </c>
      <c r="H34" s="61">
        <v>100800</v>
      </c>
      <c r="I34" s="63">
        <f>H34*G34/1000</f>
        <v>100.8</v>
      </c>
      <c r="J34" s="63">
        <f>D34-G34</f>
        <v>0</v>
      </c>
      <c r="K34" s="63">
        <f>E34-H34</f>
        <v>-66200</v>
      </c>
      <c r="L34" s="63">
        <f>F34-I34</f>
        <v>-66.19999999999999</v>
      </c>
      <c r="O34" s="162"/>
    </row>
    <row r="35" spans="1:15" s="162" customFormat="1" ht="23.25" customHeight="1">
      <c r="A35" s="300">
        <v>7</v>
      </c>
      <c r="B35" s="320" t="s">
        <v>32</v>
      </c>
      <c r="C35" s="301">
        <v>4234</v>
      </c>
      <c r="D35" s="301"/>
      <c r="E35" s="301"/>
      <c r="F35" s="302">
        <f>F37</f>
        <v>60</v>
      </c>
      <c r="G35" s="302"/>
      <c r="H35" s="301"/>
      <c r="I35" s="302">
        <f>I37</f>
        <v>60</v>
      </c>
      <c r="J35" s="302">
        <f>G35-D35</f>
        <v>0</v>
      </c>
      <c r="K35" s="301"/>
      <c r="L35" s="302">
        <f>I35-F35</f>
        <v>0</v>
      </c>
      <c r="O35" s="35"/>
    </row>
    <row r="36" spans="1:12" s="35" customFormat="1" ht="13.5">
      <c r="A36" s="163"/>
      <c r="B36" s="303" t="s">
        <v>86</v>
      </c>
      <c r="C36" s="61"/>
      <c r="D36" s="61"/>
      <c r="E36" s="61"/>
      <c r="F36" s="63"/>
      <c r="G36" s="63"/>
      <c r="H36" s="61"/>
      <c r="I36" s="82"/>
      <c r="J36" s="82"/>
      <c r="K36" s="61"/>
      <c r="L36" s="82"/>
    </row>
    <row r="37" spans="1:15" s="35" customFormat="1" ht="17.25" customHeight="1">
      <c r="A37" s="317">
        <v>1</v>
      </c>
      <c r="B37" s="321" t="s">
        <v>455</v>
      </c>
      <c r="C37" s="61" t="s">
        <v>1</v>
      </c>
      <c r="D37" s="61">
        <v>1</v>
      </c>
      <c r="E37" s="61">
        <v>60000</v>
      </c>
      <c r="F37" s="63">
        <f>E37*D37/1000</f>
        <v>60</v>
      </c>
      <c r="G37" s="63">
        <v>1</v>
      </c>
      <c r="H37" s="61">
        <v>60000</v>
      </c>
      <c r="I37" s="63">
        <f>H37*G37/1000</f>
        <v>60</v>
      </c>
      <c r="J37" s="585">
        <f>D37-G37</f>
        <v>0</v>
      </c>
      <c r="K37" s="585">
        <f>E37-H37</f>
        <v>0</v>
      </c>
      <c r="L37" s="585">
        <f>F37-I37</f>
        <v>0</v>
      </c>
      <c r="O37" s="162"/>
    </row>
    <row r="38" spans="1:12" s="162" customFormat="1" ht="23.25" customHeight="1">
      <c r="A38" s="300">
        <v>8</v>
      </c>
      <c r="B38" s="320" t="s">
        <v>33</v>
      </c>
      <c r="C38" s="301">
        <v>4235</v>
      </c>
      <c r="D38" s="301"/>
      <c r="E38" s="301"/>
      <c r="F38" s="302">
        <f>F40</f>
        <v>4800</v>
      </c>
      <c r="G38" s="302"/>
      <c r="H38" s="301"/>
      <c r="I38" s="302">
        <f>I40</f>
        <v>3120</v>
      </c>
      <c r="J38" s="302">
        <f>G38-D38</f>
        <v>0</v>
      </c>
      <c r="K38" s="301"/>
      <c r="L38" s="302">
        <f>I38-F38</f>
        <v>-1680</v>
      </c>
    </row>
    <row r="39" spans="1:12" s="35" customFormat="1" ht="13.5">
      <c r="A39" s="163"/>
      <c r="B39" s="303" t="s">
        <v>86</v>
      </c>
      <c r="C39" s="61"/>
      <c r="D39" s="61"/>
      <c r="E39" s="61"/>
      <c r="F39" s="63"/>
      <c r="G39" s="63"/>
      <c r="H39" s="61"/>
      <c r="I39" s="82"/>
      <c r="J39" s="82"/>
      <c r="K39" s="61"/>
      <c r="L39" s="82"/>
    </row>
    <row r="40" spans="1:12" s="35" customFormat="1" ht="15.75" customHeight="1">
      <c r="A40" s="317">
        <v>1</v>
      </c>
      <c r="B40" s="321" t="s">
        <v>456</v>
      </c>
      <c r="C40" s="61" t="s">
        <v>1</v>
      </c>
      <c r="D40" s="61">
        <v>1</v>
      </c>
      <c r="E40" s="61">
        <v>4800000</v>
      </c>
      <c r="F40" s="63">
        <f>E40*D40/1000</f>
        <v>4800</v>
      </c>
      <c r="G40" s="63">
        <v>1</v>
      </c>
      <c r="H40" s="61">
        <v>4800000</v>
      </c>
      <c r="I40" s="63">
        <v>3120</v>
      </c>
      <c r="J40" s="585">
        <f>D40-G40</f>
        <v>0</v>
      </c>
      <c r="K40" s="585">
        <f>E40-H40</f>
        <v>0</v>
      </c>
      <c r="L40" s="585">
        <f>F40-I40</f>
        <v>1680</v>
      </c>
    </row>
    <row r="41" spans="1:12" s="162" customFormat="1" ht="23.25" customHeight="1">
      <c r="A41" s="300">
        <v>9</v>
      </c>
      <c r="B41" s="320" t="s">
        <v>428</v>
      </c>
      <c r="C41" s="301">
        <v>4237</v>
      </c>
      <c r="D41" s="301"/>
      <c r="E41" s="301"/>
      <c r="F41" s="302">
        <f>F43</f>
        <v>280</v>
      </c>
      <c r="G41" s="302"/>
      <c r="H41" s="301"/>
      <c r="I41" s="302">
        <f>SUM(I43)</f>
        <v>280</v>
      </c>
      <c r="J41" s="302">
        <f>G41-D41</f>
        <v>0</v>
      </c>
      <c r="K41" s="301"/>
      <c r="L41" s="302">
        <f>I41-F41</f>
        <v>0</v>
      </c>
    </row>
    <row r="42" spans="1:12" s="35" customFormat="1" ht="13.5">
      <c r="A42" s="163"/>
      <c r="B42" s="303" t="s">
        <v>86</v>
      </c>
      <c r="C42" s="61"/>
      <c r="D42" s="61"/>
      <c r="E42" s="61"/>
      <c r="F42" s="63"/>
      <c r="G42" s="63"/>
      <c r="H42" s="61"/>
      <c r="I42" s="82"/>
      <c r="J42" s="82"/>
      <c r="K42" s="61"/>
      <c r="L42" s="82"/>
    </row>
    <row r="43" spans="1:12" s="35" customFormat="1" ht="13.5">
      <c r="A43" s="317">
        <v>1</v>
      </c>
      <c r="B43" s="321" t="s">
        <v>428</v>
      </c>
      <c r="C43" s="61" t="s">
        <v>1</v>
      </c>
      <c r="D43" s="61">
        <v>1</v>
      </c>
      <c r="E43" s="61">
        <v>280000</v>
      </c>
      <c r="F43" s="63">
        <f>E43*D43/1000</f>
        <v>280</v>
      </c>
      <c r="G43" s="63">
        <v>1</v>
      </c>
      <c r="H43" s="61">
        <v>280000</v>
      </c>
      <c r="I43" s="63">
        <f>H43*G43/1000</f>
        <v>280</v>
      </c>
      <c r="J43" s="585">
        <f>D43-G43</f>
        <v>0</v>
      </c>
      <c r="K43" s="585">
        <f>E43-H43</f>
        <v>0</v>
      </c>
      <c r="L43" s="585">
        <f>F43-I43</f>
        <v>0</v>
      </c>
    </row>
    <row r="44" spans="1:13" s="162" customFormat="1" ht="23.25" customHeight="1">
      <c r="A44" s="300">
        <v>10</v>
      </c>
      <c r="B44" s="320" t="s">
        <v>36</v>
      </c>
      <c r="C44" s="301">
        <v>4239</v>
      </c>
      <c r="D44" s="301"/>
      <c r="E44" s="301"/>
      <c r="F44" s="302">
        <f>F46+F47+F48</f>
        <v>66729</v>
      </c>
      <c r="G44" s="302"/>
      <c r="H44" s="301"/>
      <c r="I44" s="302">
        <f>SUM(I46:I48)</f>
        <v>71229</v>
      </c>
      <c r="J44" s="302">
        <f>G44-D44</f>
        <v>0</v>
      </c>
      <c r="K44" s="301"/>
      <c r="L44" s="302">
        <f>I44-F44</f>
        <v>4500</v>
      </c>
      <c r="M44" s="516"/>
    </row>
    <row r="45" spans="1:14" s="35" customFormat="1" ht="13.5">
      <c r="A45" s="163"/>
      <c r="B45" s="303" t="s">
        <v>86</v>
      </c>
      <c r="C45" s="61"/>
      <c r="D45" s="61"/>
      <c r="E45" s="61"/>
      <c r="F45" s="63"/>
      <c r="G45" s="63"/>
      <c r="H45" s="61"/>
      <c r="I45" s="82"/>
      <c r="J45" s="82"/>
      <c r="K45" s="61"/>
      <c r="L45" s="82"/>
      <c r="N45" s="586"/>
    </row>
    <row r="46" spans="1:14" s="35" customFormat="1" ht="13.5">
      <c r="A46" s="317">
        <v>1</v>
      </c>
      <c r="B46" s="502" t="s">
        <v>429</v>
      </c>
      <c r="C46" s="61" t="s">
        <v>1</v>
      </c>
      <c r="D46" s="61">
        <v>1</v>
      </c>
      <c r="E46" s="61">
        <v>66279800</v>
      </c>
      <c r="F46" s="63">
        <f>E46*D46/1000</f>
        <v>66279.8</v>
      </c>
      <c r="G46" s="63">
        <v>1</v>
      </c>
      <c r="H46" s="611">
        <v>70779800</v>
      </c>
      <c r="I46" s="63">
        <f>H46*G46/1000</f>
        <v>70779.8</v>
      </c>
      <c r="J46" s="63">
        <f>G46-D46</f>
        <v>0</v>
      </c>
      <c r="K46" s="63">
        <f>E46-H46</f>
        <v>-4500000</v>
      </c>
      <c r="L46" s="63">
        <f>F46-I46</f>
        <v>-4500</v>
      </c>
      <c r="M46" s="586"/>
      <c r="N46" s="658"/>
    </row>
    <row r="47" spans="1:14" s="35" customFormat="1" ht="13.5">
      <c r="A47" s="61">
        <v>2</v>
      </c>
      <c r="B47" s="502" t="s">
        <v>430</v>
      </c>
      <c r="C47" s="61" t="s">
        <v>1</v>
      </c>
      <c r="D47" s="61">
        <v>1</v>
      </c>
      <c r="E47" s="61">
        <v>149200</v>
      </c>
      <c r="F47" s="63">
        <f>E47*D47/1000</f>
        <v>149.2</v>
      </c>
      <c r="G47" s="63">
        <v>1</v>
      </c>
      <c r="H47" s="61">
        <v>149200</v>
      </c>
      <c r="I47" s="63">
        <f>H47*G47/1000</f>
        <v>149.2</v>
      </c>
      <c r="J47" s="63">
        <f>G47-D47</f>
        <v>0</v>
      </c>
      <c r="K47" s="63">
        <f>E47-H47</f>
        <v>0</v>
      </c>
      <c r="L47" s="63">
        <f>I47-F47</f>
        <v>0</v>
      </c>
      <c r="M47" s="586"/>
      <c r="N47" s="586"/>
    </row>
    <row r="48" spans="1:13" s="35" customFormat="1" ht="13.5">
      <c r="A48" s="61">
        <v>3</v>
      </c>
      <c r="B48" s="506" t="s">
        <v>431</v>
      </c>
      <c r="C48" s="61" t="s">
        <v>1</v>
      </c>
      <c r="D48" s="61">
        <v>1</v>
      </c>
      <c r="E48" s="61">
        <v>300000</v>
      </c>
      <c r="F48" s="63">
        <f>E48*D48/1000</f>
        <v>300</v>
      </c>
      <c r="G48" s="63">
        <v>1</v>
      </c>
      <c r="H48" s="611">
        <v>300000</v>
      </c>
      <c r="I48" s="63">
        <f>H48*G48/1000</f>
        <v>300</v>
      </c>
      <c r="J48" s="63">
        <f>G48-D48</f>
        <v>0</v>
      </c>
      <c r="K48" s="63">
        <f>E48-H48</f>
        <v>0</v>
      </c>
      <c r="L48" s="63">
        <f>I48-F48</f>
        <v>0</v>
      </c>
      <c r="M48" s="586"/>
    </row>
    <row r="49" spans="1:12" s="162" customFormat="1" ht="30.75" customHeight="1">
      <c r="A49" s="300">
        <v>11</v>
      </c>
      <c r="B49" s="505" t="s">
        <v>453</v>
      </c>
      <c r="C49" s="301">
        <v>4251</v>
      </c>
      <c r="D49" s="301"/>
      <c r="E49" s="301"/>
      <c r="F49" s="302">
        <f>F51</f>
        <v>590.4</v>
      </c>
      <c r="G49" s="302"/>
      <c r="H49" s="301"/>
      <c r="I49" s="302">
        <f>I51</f>
        <v>590.4</v>
      </c>
      <c r="J49" s="302"/>
      <c r="K49" s="301"/>
      <c r="L49" s="302"/>
    </row>
    <row r="50" spans="1:12" s="35" customFormat="1" ht="13.5">
      <c r="A50" s="163"/>
      <c r="B50" s="303" t="s">
        <v>86</v>
      </c>
      <c r="C50" s="61"/>
      <c r="D50" s="61"/>
      <c r="E50" s="61"/>
      <c r="F50" s="63"/>
      <c r="G50" s="63"/>
      <c r="H50" s="61"/>
      <c r="I50" s="82"/>
      <c r="J50" s="82"/>
      <c r="K50" s="61"/>
      <c r="L50" s="82"/>
    </row>
    <row r="51" spans="1:14" s="35" customFormat="1" ht="22.5" customHeight="1">
      <c r="A51" s="317">
        <v>1</v>
      </c>
      <c r="B51" s="502" t="s">
        <v>453</v>
      </c>
      <c r="C51" s="61" t="s">
        <v>1</v>
      </c>
      <c r="D51" s="61">
        <v>1</v>
      </c>
      <c r="E51" s="61">
        <v>590400</v>
      </c>
      <c r="F51" s="63">
        <f>E51*D51/1000</f>
        <v>590.4</v>
      </c>
      <c r="G51" s="63">
        <v>1</v>
      </c>
      <c r="H51" s="611">
        <v>590400</v>
      </c>
      <c r="I51" s="609">
        <f>H51*G51/1000</f>
        <v>590.4</v>
      </c>
      <c r="J51" s="585">
        <f>D51-G51</f>
        <v>0</v>
      </c>
      <c r="K51" s="585">
        <f>E51-H51</f>
        <v>0</v>
      </c>
      <c r="L51" s="585">
        <f>F51-I51</f>
        <v>0</v>
      </c>
      <c r="N51" s="586"/>
    </row>
    <row r="52" spans="1:12" s="162" customFormat="1" ht="30.75" customHeight="1">
      <c r="A52" s="300">
        <v>12</v>
      </c>
      <c r="B52" s="505" t="s">
        <v>39</v>
      </c>
      <c r="C52" s="301">
        <v>4252</v>
      </c>
      <c r="D52" s="301"/>
      <c r="E52" s="301"/>
      <c r="F52" s="302">
        <f>SUM(F54:F55)</f>
        <v>681.7</v>
      </c>
      <c r="G52" s="302"/>
      <c r="H52" s="301"/>
      <c r="I52" s="302">
        <f>SUM(I54:I55)</f>
        <v>681.7</v>
      </c>
      <c r="J52" s="302">
        <f>G52-D52</f>
        <v>0</v>
      </c>
      <c r="K52" s="301"/>
      <c r="L52" s="302">
        <f>I52-F52</f>
        <v>0</v>
      </c>
    </row>
    <row r="53" spans="1:16" s="35" customFormat="1" ht="13.5">
      <c r="A53" s="163"/>
      <c r="B53" s="303" t="s">
        <v>86</v>
      </c>
      <c r="C53" s="61"/>
      <c r="D53" s="61"/>
      <c r="E53" s="61"/>
      <c r="F53" s="63"/>
      <c r="G53" s="63"/>
      <c r="H53" s="61"/>
      <c r="I53" s="82"/>
      <c r="J53" s="82"/>
      <c r="K53" s="61"/>
      <c r="L53" s="82"/>
      <c r="P53" s="513"/>
    </row>
    <row r="54" spans="1:17" s="35" customFormat="1" ht="16.5" customHeight="1">
      <c r="A54" s="317">
        <v>1</v>
      </c>
      <c r="B54" s="502" t="s">
        <v>432</v>
      </c>
      <c r="C54" s="61" t="s">
        <v>1</v>
      </c>
      <c r="D54" s="61">
        <v>1</v>
      </c>
      <c r="E54" s="61">
        <v>494300</v>
      </c>
      <c r="F54" s="63">
        <f>E54*D54/1000</f>
        <v>494.3</v>
      </c>
      <c r="G54" s="63">
        <v>1</v>
      </c>
      <c r="H54" s="61">
        <v>494300</v>
      </c>
      <c r="I54" s="609">
        <f>H54*G54/1000</f>
        <v>494.3</v>
      </c>
      <c r="J54" s="63">
        <f aca="true" t="shared" si="6" ref="J54:L55">G54-D54</f>
        <v>0</v>
      </c>
      <c r="K54" s="63">
        <f t="shared" si="6"/>
        <v>0</v>
      </c>
      <c r="L54" s="63">
        <f t="shared" si="6"/>
        <v>0</v>
      </c>
      <c r="N54" s="586"/>
      <c r="Q54" s="586"/>
    </row>
    <row r="55" spans="1:16" s="35" customFormat="1" ht="27">
      <c r="A55" s="61">
        <v>2</v>
      </c>
      <c r="B55" s="502" t="s">
        <v>433</v>
      </c>
      <c r="C55" s="61" t="s">
        <v>1</v>
      </c>
      <c r="D55" s="61">
        <v>1</v>
      </c>
      <c r="E55" s="61">
        <v>187400</v>
      </c>
      <c r="F55" s="63">
        <f>E55*D55/1000</f>
        <v>187.4</v>
      </c>
      <c r="G55" s="63">
        <v>1</v>
      </c>
      <c r="H55" s="61">
        <v>187400</v>
      </c>
      <c r="I55" s="609">
        <f>H55*G55/1000</f>
        <v>187.4</v>
      </c>
      <c r="J55" s="63">
        <f t="shared" si="6"/>
        <v>0</v>
      </c>
      <c r="K55" s="63">
        <f t="shared" si="6"/>
        <v>0</v>
      </c>
      <c r="L55" s="63">
        <f t="shared" si="6"/>
        <v>0</v>
      </c>
      <c r="N55" s="586"/>
      <c r="P55" s="162"/>
    </row>
    <row r="56" spans="1:16" s="162" customFormat="1" ht="30.75" customHeight="1">
      <c r="A56" s="300">
        <v>13</v>
      </c>
      <c r="B56" s="505" t="s">
        <v>42</v>
      </c>
      <c r="C56" s="301">
        <v>4261</v>
      </c>
      <c r="D56" s="301"/>
      <c r="E56" s="301"/>
      <c r="F56" s="302">
        <f>SUM(F58:F79)</f>
        <v>519</v>
      </c>
      <c r="G56" s="302"/>
      <c r="H56" s="301"/>
      <c r="I56" s="302">
        <f>SUM(I58:I79)</f>
        <v>519</v>
      </c>
      <c r="J56" s="302">
        <f>SUM(J58:J79)</f>
        <v>46</v>
      </c>
      <c r="K56" s="302"/>
      <c r="L56" s="302">
        <f>SUM(L58:L79)</f>
        <v>2.220446049250313E-15</v>
      </c>
      <c r="O56" s="516"/>
      <c r="P56" s="35"/>
    </row>
    <row r="57" spans="1:12" s="35" customFormat="1" ht="13.5">
      <c r="A57" s="163"/>
      <c r="B57" s="303" t="s">
        <v>86</v>
      </c>
      <c r="C57" s="61"/>
      <c r="D57" s="61"/>
      <c r="E57" s="61"/>
      <c r="F57" s="63"/>
      <c r="G57" s="63"/>
      <c r="H57" s="61"/>
      <c r="I57" s="82"/>
      <c r="J57" s="82"/>
      <c r="K57" s="61"/>
      <c r="L57" s="82"/>
    </row>
    <row r="58" spans="1:12" s="35" customFormat="1" ht="13.5">
      <c r="A58" s="317">
        <v>1</v>
      </c>
      <c r="B58" s="502" t="s">
        <v>434</v>
      </c>
      <c r="C58" s="61" t="s">
        <v>1</v>
      </c>
      <c r="D58" s="61">
        <v>10</v>
      </c>
      <c r="E58" s="61">
        <v>1500</v>
      </c>
      <c r="F58" s="63">
        <f aca="true" t="shared" si="7" ref="F58:F79">E58*D58/1000</f>
        <v>15</v>
      </c>
      <c r="G58" s="61">
        <v>15</v>
      </c>
      <c r="H58" s="61">
        <v>1500</v>
      </c>
      <c r="I58" s="63">
        <f aca="true" t="shared" si="8" ref="I58:I79">H58*G58/1000</f>
        <v>22.5</v>
      </c>
      <c r="J58" s="82">
        <f>D58-G58</f>
        <v>-5</v>
      </c>
      <c r="K58" s="82">
        <f>+E58-H58</f>
        <v>0</v>
      </c>
      <c r="L58" s="82">
        <f>+F58-I58</f>
        <v>-7.5</v>
      </c>
    </row>
    <row r="59" spans="1:14" s="35" customFormat="1" ht="13.5">
      <c r="A59" s="317">
        <f>A58+1</f>
        <v>2</v>
      </c>
      <c r="B59" s="502" t="s">
        <v>458</v>
      </c>
      <c r="C59" s="61" t="s">
        <v>1</v>
      </c>
      <c r="D59" s="61">
        <v>5</v>
      </c>
      <c r="E59" s="61">
        <v>480</v>
      </c>
      <c r="F59" s="63">
        <f t="shared" si="7"/>
        <v>2.4</v>
      </c>
      <c r="G59" s="61"/>
      <c r="H59" s="61"/>
      <c r="I59" s="63">
        <f t="shared" si="8"/>
        <v>0</v>
      </c>
      <c r="J59" s="82">
        <f aca="true" t="shared" si="9" ref="J59:J79">D59-G59</f>
        <v>5</v>
      </c>
      <c r="K59" s="82">
        <f aca="true" t="shared" si="10" ref="K59:K79">+E59-H59</f>
        <v>480</v>
      </c>
      <c r="L59" s="82">
        <f aca="true" t="shared" si="11" ref="L59:L79">+F59-I59</f>
        <v>2.4</v>
      </c>
      <c r="N59" s="586"/>
    </row>
    <row r="60" spans="1:16" s="35" customFormat="1" ht="13.5">
      <c r="A60" s="317">
        <f aca="true" t="shared" si="12" ref="A60:A79">A59+1</f>
        <v>3</v>
      </c>
      <c r="B60" s="502" t="s">
        <v>459</v>
      </c>
      <c r="C60" s="61" t="s">
        <v>1</v>
      </c>
      <c r="D60" s="61">
        <v>5</v>
      </c>
      <c r="E60" s="61">
        <v>280</v>
      </c>
      <c r="F60" s="63">
        <f t="shared" si="7"/>
        <v>1.4</v>
      </c>
      <c r="G60" s="61"/>
      <c r="H60" s="61"/>
      <c r="I60" s="63">
        <f t="shared" si="8"/>
        <v>0</v>
      </c>
      <c r="J60" s="82">
        <f t="shared" si="9"/>
        <v>5</v>
      </c>
      <c r="K60" s="82">
        <f t="shared" si="10"/>
        <v>280</v>
      </c>
      <c r="L60" s="82">
        <f t="shared" si="11"/>
        <v>1.4</v>
      </c>
      <c r="P60" s="625"/>
    </row>
    <row r="61" spans="1:16" s="612" customFormat="1" ht="13.5">
      <c r="A61" s="610">
        <f t="shared" si="12"/>
        <v>4</v>
      </c>
      <c r="B61" s="506" t="s">
        <v>435</v>
      </c>
      <c r="C61" s="611" t="s">
        <v>1</v>
      </c>
      <c r="D61" s="611">
        <v>100</v>
      </c>
      <c r="E61" s="611">
        <v>170</v>
      </c>
      <c r="F61" s="609">
        <f t="shared" si="7"/>
        <v>17</v>
      </c>
      <c r="G61" s="611">
        <v>100</v>
      </c>
      <c r="H61" s="611">
        <v>170</v>
      </c>
      <c r="I61" s="609">
        <f t="shared" si="8"/>
        <v>17</v>
      </c>
      <c r="J61" s="607">
        <f t="shared" si="9"/>
        <v>0</v>
      </c>
      <c r="K61" s="607">
        <f t="shared" si="10"/>
        <v>0</v>
      </c>
      <c r="L61" s="607">
        <f t="shared" si="11"/>
        <v>0</v>
      </c>
      <c r="P61" s="509"/>
    </row>
    <row r="62" spans="1:16" s="612" customFormat="1" ht="13.5">
      <c r="A62" s="610">
        <f t="shared" si="12"/>
        <v>5</v>
      </c>
      <c r="B62" s="506" t="s">
        <v>460</v>
      </c>
      <c r="C62" s="611" t="s">
        <v>1</v>
      </c>
      <c r="D62" s="611">
        <v>10</v>
      </c>
      <c r="E62" s="611">
        <v>420</v>
      </c>
      <c r="F62" s="609">
        <f t="shared" si="7"/>
        <v>4.2</v>
      </c>
      <c r="G62" s="611">
        <v>10</v>
      </c>
      <c r="H62" s="611">
        <v>450</v>
      </c>
      <c r="I62" s="609">
        <f t="shared" si="8"/>
        <v>4.5</v>
      </c>
      <c r="J62" s="607">
        <f t="shared" si="9"/>
        <v>0</v>
      </c>
      <c r="K62" s="607">
        <f>+E62-H62</f>
        <v>-30</v>
      </c>
      <c r="L62" s="607">
        <f t="shared" si="11"/>
        <v>-0.2999999999999998</v>
      </c>
      <c r="P62" s="509"/>
    </row>
    <row r="63" spans="1:16" s="612" customFormat="1" ht="13.5">
      <c r="A63" s="610">
        <f t="shared" si="12"/>
        <v>6</v>
      </c>
      <c r="B63" s="506" t="s">
        <v>461</v>
      </c>
      <c r="C63" s="611" t="s">
        <v>1</v>
      </c>
      <c r="D63" s="611">
        <v>10</v>
      </c>
      <c r="E63" s="611">
        <v>200</v>
      </c>
      <c r="F63" s="609">
        <f t="shared" si="7"/>
        <v>2</v>
      </c>
      <c r="G63" s="611">
        <v>10</v>
      </c>
      <c r="H63" s="611">
        <v>210</v>
      </c>
      <c r="I63" s="609">
        <f t="shared" si="8"/>
        <v>2.1</v>
      </c>
      <c r="J63" s="607">
        <f t="shared" si="9"/>
        <v>0</v>
      </c>
      <c r="K63" s="607">
        <f t="shared" si="10"/>
        <v>-10</v>
      </c>
      <c r="L63" s="607">
        <f t="shared" si="11"/>
        <v>-0.10000000000000009</v>
      </c>
      <c r="P63" s="509"/>
    </row>
    <row r="64" spans="1:16" s="612" customFormat="1" ht="13.5">
      <c r="A64" s="610">
        <f t="shared" si="12"/>
        <v>7</v>
      </c>
      <c r="B64" s="506" t="s">
        <v>436</v>
      </c>
      <c r="C64" s="611" t="s">
        <v>1</v>
      </c>
      <c r="D64" s="611">
        <v>50</v>
      </c>
      <c r="E64" s="611">
        <v>200</v>
      </c>
      <c r="F64" s="609">
        <f t="shared" si="7"/>
        <v>10</v>
      </c>
      <c r="G64" s="611">
        <v>10</v>
      </c>
      <c r="H64" s="611">
        <v>210</v>
      </c>
      <c r="I64" s="609">
        <f t="shared" si="8"/>
        <v>2.1</v>
      </c>
      <c r="J64" s="607">
        <f t="shared" si="9"/>
        <v>40</v>
      </c>
      <c r="K64" s="607">
        <f t="shared" si="10"/>
        <v>-10</v>
      </c>
      <c r="L64" s="607">
        <f t="shared" si="11"/>
        <v>7.9</v>
      </c>
      <c r="P64" s="509"/>
    </row>
    <row r="65" spans="1:16" s="612" customFormat="1" ht="13.5">
      <c r="A65" s="610">
        <f t="shared" si="12"/>
        <v>8</v>
      </c>
      <c r="B65" s="506" t="s">
        <v>437</v>
      </c>
      <c r="C65" s="611" t="s">
        <v>1</v>
      </c>
      <c r="D65" s="611">
        <v>20</v>
      </c>
      <c r="E65" s="611">
        <v>200</v>
      </c>
      <c r="F65" s="609">
        <f t="shared" si="7"/>
        <v>4</v>
      </c>
      <c r="G65" s="611">
        <v>20</v>
      </c>
      <c r="H65" s="611">
        <v>200</v>
      </c>
      <c r="I65" s="609">
        <f t="shared" si="8"/>
        <v>4</v>
      </c>
      <c r="J65" s="607">
        <f t="shared" si="9"/>
        <v>0</v>
      </c>
      <c r="K65" s="607">
        <f t="shared" si="10"/>
        <v>0</v>
      </c>
      <c r="L65" s="607">
        <f t="shared" si="11"/>
        <v>0</v>
      </c>
      <c r="P65" s="509"/>
    </row>
    <row r="66" spans="1:16" s="612" customFormat="1" ht="17.25" customHeight="1">
      <c r="A66" s="610">
        <f t="shared" si="12"/>
        <v>9</v>
      </c>
      <c r="B66" s="506" t="s">
        <v>462</v>
      </c>
      <c r="C66" s="611" t="s">
        <v>1</v>
      </c>
      <c r="D66" s="611">
        <v>5</v>
      </c>
      <c r="E66" s="611">
        <v>3000</v>
      </c>
      <c r="F66" s="609">
        <f t="shared" si="7"/>
        <v>15</v>
      </c>
      <c r="G66" s="611">
        <v>5</v>
      </c>
      <c r="H66" s="611">
        <v>3500</v>
      </c>
      <c r="I66" s="609">
        <f t="shared" si="8"/>
        <v>17.5</v>
      </c>
      <c r="J66" s="607">
        <f t="shared" si="9"/>
        <v>0</v>
      </c>
      <c r="K66" s="607">
        <f t="shared" si="10"/>
        <v>-500</v>
      </c>
      <c r="L66" s="607">
        <f t="shared" si="11"/>
        <v>-2.5</v>
      </c>
      <c r="P66" s="509"/>
    </row>
    <row r="67" spans="1:16" s="612" customFormat="1" ht="13.5">
      <c r="A67" s="610">
        <f t="shared" si="12"/>
        <v>10</v>
      </c>
      <c r="B67" s="506" t="s">
        <v>463</v>
      </c>
      <c r="C67" s="611" t="s">
        <v>1</v>
      </c>
      <c r="D67" s="611">
        <v>7</v>
      </c>
      <c r="E67" s="611">
        <v>6000</v>
      </c>
      <c r="F67" s="609">
        <f t="shared" si="7"/>
        <v>42</v>
      </c>
      <c r="G67" s="611">
        <v>7</v>
      </c>
      <c r="H67" s="611">
        <v>6200</v>
      </c>
      <c r="I67" s="609">
        <f t="shared" si="8"/>
        <v>43.4</v>
      </c>
      <c r="J67" s="607">
        <f t="shared" si="9"/>
        <v>0</v>
      </c>
      <c r="K67" s="607">
        <f t="shared" si="10"/>
        <v>-200</v>
      </c>
      <c r="L67" s="607">
        <f t="shared" si="11"/>
        <v>-1.3999999999999986</v>
      </c>
      <c r="P67" s="509"/>
    </row>
    <row r="68" spans="1:16" s="612" customFormat="1" ht="13.5">
      <c r="A68" s="610">
        <f t="shared" si="12"/>
        <v>11</v>
      </c>
      <c r="B68" s="506" t="s">
        <v>464</v>
      </c>
      <c r="C68" s="611" t="s">
        <v>1</v>
      </c>
      <c r="D68" s="611">
        <v>34</v>
      </c>
      <c r="E68" s="611">
        <v>100</v>
      </c>
      <c r="F68" s="609">
        <f t="shared" si="7"/>
        <v>3.4</v>
      </c>
      <c r="G68" s="611">
        <v>33</v>
      </c>
      <c r="H68" s="611">
        <v>100</v>
      </c>
      <c r="I68" s="609">
        <f t="shared" si="8"/>
        <v>3.3</v>
      </c>
      <c r="J68" s="607">
        <f t="shared" si="9"/>
        <v>1</v>
      </c>
      <c r="K68" s="607">
        <f t="shared" si="10"/>
        <v>0</v>
      </c>
      <c r="L68" s="607">
        <f t="shared" si="11"/>
        <v>0.10000000000000009</v>
      </c>
      <c r="P68" s="509"/>
    </row>
    <row r="69" spans="1:16" s="612" customFormat="1" ht="13.5">
      <c r="A69" s="610">
        <f t="shared" si="12"/>
        <v>12</v>
      </c>
      <c r="B69" s="504" t="s">
        <v>438</v>
      </c>
      <c r="C69" s="611" t="s">
        <v>1</v>
      </c>
      <c r="D69" s="611">
        <v>50</v>
      </c>
      <c r="E69" s="611">
        <v>300</v>
      </c>
      <c r="F69" s="609">
        <f t="shared" si="7"/>
        <v>15</v>
      </c>
      <c r="G69" s="611">
        <v>50</v>
      </c>
      <c r="H69" s="611">
        <v>300</v>
      </c>
      <c r="I69" s="609">
        <f t="shared" si="8"/>
        <v>15</v>
      </c>
      <c r="J69" s="607">
        <f t="shared" si="9"/>
        <v>0</v>
      </c>
      <c r="K69" s="607">
        <f t="shared" si="10"/>
        <v>0</v>
      </c>
      <c r="L69" s="607">
        <f t="shared" si="11"/>
        <v>0</v>
      </c>
      <c r="P69" s="509"/>
    </row>
    <row r="70" spans="1:16" s="612" customFormat="1" ht="13.5">
      <c r="A70" s="610">
        <f t="shared" si="12"/>
        <v>13</v>
      </c>
      <c r="B70" s="504" t="s">
        <v>438</v>
      </c>
      <c r="C70" s="611" t="s">
        <v>1</v>
      </c>
      <c r="D70" s="611">
        <v>30</v>
      </c>
      <c r="E70" s="611">
        <v>800</v>
      </c>
      <c r="F70" s="609">
        <f t="shared" si="7"/>
        <v>24</v>
      </c>
      <c r="G70" s="611">
        <v>30</v>
      </c>
      <c r="H70" s="611">
        <v>800</v>
      </c>
      <c r="I70" s="609">
        <f t="shared" si="8"/>
        <v>24</v>
      </c>
      <c r="J70" s="607">
        <f t="shared" si="9"/>
        <v>0</v>
      </c>
      <c r="K70" s="607">
        <f t="shared" si="10"/>
        <v>0</v>
      </c>
      <c r="L70" s="607">
        <f t="shared" si="11"/>
        <v>0</v>
      </c>
      <c r="P70" s="509"/>
    </row>
    <row r="71" spans="1:16" s="612" customFormat="1" ht="13.5">
      <c r="A71" s="610">
        <f t="shared" si="12"/>
        <v>14</v>
      </c>
      <c r="B71" s="504" t="s">
        <v>439</v>
      </c>
      <c r="C71" s="611" t="s">
        <v>1</v>
      </c>
      <c r="D71" s="611">
        <v>100</v>
      </c>
      <c r="E71" s="611">
        <v>100</v>
      </c>
      <c r="F71" s="609">
        <f t="shared" si="7"/>
        <v>10</v>
      </c>
      <c r="G71" s="611">
        <v>100</v>
      </c>
      <c r="H71" s="611">
        <v>100</v>
      </c>
      <c r="I71" s="609">
        <f t="shared" si="8"/>
        <v>10</v>
      </c>
      <c r="J71" s="607">
        <f t="shared" si="9"/>
        <v>0</v>
      </c>
      <c r="K71" s="607">
        <f t="shared" si="10"/>
        <v>0</v>
      </c>
      <c r="L71" s="607">
        <f t="shared" si="11"/>
        <v>0</v>
      </c>
      <c r="P71" s="509"/>
    </row>
    <row r="72" spans="1:16" s="612" customFormat="1" ht="13.5">
      <c r="A72" s="610">
        <f t="shared" si="12"/>
        <v>15</v>
      </c>
      <c r="B72" s="504" t="s">
        <v>440</v>
      </c>
      <c r="C72" s="611" t="s">
        <v>1</v>
      </c>
      <c r="D72" s="611">
        <v>100</v>
      </c>
      <c r="E72" s="611">
        <v>200</v>
      </c>
      <c r="F72" s="609">
        <f t="shared" si="7"/>
        <v>20</v>
      </c>
      <c r="G72" s="611">
        <v>100</v>
      </c>
      <c r="H72" s="611">
        <v>200</v>
      </c>
      <c r="I72" s="609">
        <f t="shared" si="8"/>
        <v>20</v>
      </c>
      <c r="J72" s="607">
        <f t="shared" si="9"/>
        <v>0</v>
      </c>
      <c r="K72" s="607">
        <f t="shared" si="10"/>
        <v>0</v>
      </c>
      <c r="L72" s="607">
        <f t="shared" si="11"/>
        <v>0</v>
      </c>
      <c r="P72" s="509"/>
    </row>
    <row r="73" spans="1:16" s="612" customFormat="1" ht="13.5">
      <c r="A73" s="610">
        <f t="shared" si="12"/>
        <v>16</v>
      </c>
      <c r="B73" s="504" t="s">
        <v>441</v>
      </c>
      <c r="C73" s="611" t="s">
        <v>1</v>
      </c>
      <c r="D73" s="611">
        <v>40</v>
      </c>
      <c r="E73" s="611">
        <v>800</v>
      </c>
      <c r="F73" s="609">
        <f t="shared" si="7"/>
        <v>32</v>
      </c>
      <c r="G73" s="611">
        <v>40</v>
      </c>
      <c r="H73" s="611">
        <v>800</v>
      </c>
      <c r="I73" s="609">
        <f t="shared" si="8"/>
        <v>32</v>
      </c>
      <c r="J73" s="607">
        <f t="shared" si="9"/>
        <v>0</v>
      </c>
      <c r="K73" s="607">
        <f t="shared" si="10"/>
        <v>0</v>
      </c>
      <c r="L73" s="607">
        <f t="shared" si="11"/>
        <v>0</v>
      </c>
      <c r="P73" s="509"/>
    </row>
    <row r="74" spans="1:16" s="612" customFormat="1" ht="13.5">
      <c r="A74" s="610">
        <f t="shared" si="12"/>
        <v>17</v>
      </c>
      <c r="B74" s="504" t="s">
        <v>465</v>
      </c>
      <c r="C74" s="611" t="s">
        <v>1</v>
      </c>
      <c r="D74" s="611">
        <v>4</v>
      </c>
      <c r="E74" s="611">
        <v>4500</v>
      </c>
      <c r="F74" s="609">
        <f t="shared" si="7"/>
        <v>18</v>
      </c>
      <c r="G74" s="611">
        <v>4</v>
      </c>
      <c r="H74" s="611">
        <v>4500</v>
      </c>
      <c r="I74" s="609">
        <f t="shared" si="8"/>
        <v>18</v>
      </c>
      <c r="J74" s="607">
        <f t="shared" si="9"/>
        <v>0</v>
      </c>
      <c r="K74" s="607">
        <f t="shared" si="10"/>
        <v>0</v>
      </c>
      <c r="L74" s="607">
        <f t="shared" si="11"/>
        <v>0</v>
      </c>
      <c r="P74" s="509"/>
    </row>
    <row r="75" spans="1:16" s="612" customFormat="1" ht="13.5">
      <c r="A75" s="610">
        <f t="shared" si="12"/>
        <v>18</v>
      </c>
      <c r="B75" s="504" t="s">
        <v>466</v>
      </c>
      <c r="C75" s="611" t="s">
        <v>1</v>
      </c>
      <c r="D75" s="611">
        <v>4</v>
      </c>
      <c r="E75" s="611">
        <v>4500</v>
      </c>
      <c r="F75" s="609">
        <f t="shared" si="7"/>
        <v>18</v>
      </c>
      <c r="G75" s="611">
        <v>4</v>
      </c>
      <c r="H75" s="611">
        <v>4500</v>
      </c>
      <c r="I75" s="609">
        <f t="shared" si="8"/>
        <v>18</v>
      </c>
      <c r="J75" s="607">
        <f t="shared" si="9"/>
        <v>0</v>
      </c>
      <c r="K75" s="607">
        <f t="shared" si="10"/>
        <v>0</v>
      </c>
      <c r="L75" s="607">
        <f t="shared" si="11"/>
        <v>0</v>
      </c>
      <c r="P75" s="509"/>
    </row>
    <row r="76" spans="1:16" s="612" customFormat="1" ht="13.5">
      <c r="A76" s="610">
        <f t="shared" si="12"/>
        <v>19</v>
      </c>
      <c r="B76" s="504" t="s">
        <v>467</v>
      </c>
      <c r="C76" s="611" t="s">
        <v>1</v>
      </c>
      <c r="D76" s="611">
        <v>10</v>
      </c>
      <c r="E76" s="611">
        <v>360</v>
      </c>
      <c r="F76" s="609">
        <f t="shared" si="7"/>
        <v>3.6</v>
      </c>
      <c r="G76" s="611">
        <v>10</v>
      </c>
      <c r="H76" s="611">
        <v>360</v>
      </c>
      <c r="I76" s="609">
        <f t="shared" si="8"/>
        <v>3.6</v>
      </c>
      <c r="J76" s="607">
        <f t="shared" si="9"/>
        <v>0</v>
      </c>
      <c r="K76" s="607">
        <f t="shared" si="10"/>
        <v>0</v>
      </c>
      <c r="L76" s="607">
        <f t="shared" si="11"/>
        <v>0</v>
      </c>
      <c r="P76" s="509"/>
    </row>
    <row r="77" spans="1:16" s="612" customFormat="1" ht="13.5">
      <c r="A77" s="610">
        <f t="shared" si="12"/>
        <v>20</v>
      </c>
      <c r="B77" s="504" t="s">
        <v>442</v>
      </c>
      <c r="C77" s="611" t="s">
        <v>1</v>
      </c>
      <c r="D77" s="611">
        <v>125</v>
      </c>
      <c r="E77" s="611">
        <v>1600</v>
      </c>
      <c r="F77" s="609">
        <f t="shared" si="7"/>
        <v>200</v>
      </c>
      <c r="G77" s="611">
        <v>125</v>
      </c>
      <c r="H77" s="611">
        <v>1600</v>
      </c>
      <c r="I77" s="609">
        <f t="shared" si="8"/>
        <v>200</v>
      </c>
      <c r="J77" s="607">
        <f t="shared" si="9"/>
        <v>0</v>
      </c>
      <c r="K77" s="607">
        <f t="shared" si="10"/>
        <v>0</v>
      </c>
      <c r="L77" s="607">
        <f t="shared" si="11"/>
        <v>0</v>
      </c>
      <c r="P77" s="509"/>
    </row>
    <row r="78" spans="1:16" s="612" customFormat="1" ht="13.5">
      <c r="A78" s="610">
        <f t="shared" si="12"/>
        <v>21</v>
      </c>
      <c r="B78" s="504" t="s">
        <v>443</v>
      </c>
      <c r="C78" s="611" t="s">
        <v>1</v>
      </c>
      <c r="D78" s="611">
        <v>50</v>
      </c>
      <c r="E78" s="611">
        <v>250</v>
      </c>
      <c r="F78" s="609">
        <f t="shared" si="7"/>
        <v>12.5</v>
      </c>
      <c r="G78" s="611">
        <v>50</v>
      </c>
      <c r="H78" s="611">
        <v>250</v>
      </c>
      <c r="I78" s="609">
        <f t="shared" si="8"/>
        <v>12.5</v>
      </c>
      <c r="J78" s="607">
        <f t="shared" si="9"/>
        <v>0</v>
      </c>
      <c r="K78" s="607">
        <f t="shared" si="10"/>
        <v>0</v>
      </c>
      <c r="L78" s="607">
        <f t="shared" si="11"/>
        <v>0</v>
      </c>
      <c r="P78" s="509"/>
    </row>
    <row r="79" spans="1:16" s="612" customFormat="1" ht="13.5">
      <c r="A79" s="610">
        <f t="shared" si="12"/>
        <v>22</v>
      </c>
      <c r="B79" s="504" t="s">
        <v>468</v>
      </c>
      <c r="C79" s="611" t="s">
        <v>1</v>
      </c>
      <c r="D79" s="611">
        <v>11</v>
      </c>
      <c r="E79" s="611">
        <v>4500</v>
      </c>
      <c r="F79" s="609">
        <f t="shared" si="7"/>
        <v>49.5</v>
      </c>
      <c r="G79" s="611">
        <v>11</v>
      </c>
      <c r="H79" s="611">
        <v>4500</v>
      </c>
      <c r="I79" s="609">
        <f t="shared" si="8"/>
        <v>49.5</v>
      </c>
      <c r="J79" s="607">
        <f t="shared" si="9"/>
        <v>0</v>
      </c>
      <c r="K79" s="607">
        <f t="shared" si="10"/>
        <v>0</v>
      </c>
      <c r="L79" s="607">
        <f t="shared" si="11"/>
        <v>0</v>
      </c>
      <c r="P79" s="509"/>
    </row>
    <row r="80" spans="1:16" s="162" customFormat="1" ht="30.75" customHeight="1">
      <c r="A80" s="300">
        <v>14</v>
      </c>
      <c r="B80" s="505" t="s">
        <v>164</v>
      </c>
      <c r="C80" s="301">
        <v>4264</v>
      </c>
      <c r="D80" s="301"/>
      <c r="E80" s="301"/>
      <c r="F80" s="302">
        <f>F82</f>
        <v>4261.7</v>
      </c>
      <c r="G80" s="302"/>
      <c r="H80" s="301"/>
      <c r="I80" s="301">
        <f>I82</f>
        <v>4261.7</v>
      </c>
      <c r="J80" s="302">
        <f>G80-D80</f>
        <v>0</v>
      </c>
      <c r="K80" s="302">
        <f aca="true" t="shared" si="13" ref="K80:L82">H80-E80</f>
        <v>0</v>
      </c>
      <c r="L80" s="302">
        <f t="shared" si="13"/>
        <v>0</v>
      </c>
      <c r="P80" s="509"/>
    </row>
    <row r="81" spans="1:16" s="35" customFormat="1" ht="14.25">
      <c r="A81" s="163"/>
      <c r="B81" s="303" t="s">
        <v>86</v>
      </c>
      <c r="C81" s="61"/>
      <c r="D81" s="61"/>
      <c r="E81" s="61"/>
      <c r="F81" s="63"/>
      <c r="G81" s="63"/>
      <c r="H81" s="61"/>
      <c r="I81" s="607"/>
      <c r="J81" s="608"/>
      <c r="K81" s="608"/>
      <c r="L81" s="608"/>
      <c r="N81" s="586"/>
      <c r="P81" s="509"/>
    </row>
    <row r="82" spans="1:16" s="35" customFormat="1" ht="14.25">
      <c r="A82" s="317">
        <v>1</v>
      </c>
      <c r="B82" s="321" t="s">
        <v>457</v>
      </c>
      <c r="C82" s="61" t="s">
        <v>1</v>
      </c>
      <c r="D82" s="63">
        <v>8523.4</v>
      </c>
      <c r="E82" s="61">
        <v>500</v>
      </c>
      <c r="F82" s="63">
        <f>E82*D82/1000</f>
        <v>4261.7</v>
      </c>
      <c r="G82" s="63">
        <v>8523</v>
      </c>
      <c r="H82" s="61">
        <v>500</v>
      </c>
      <c r="I82" s="609">
        <v>4261.7</v>
      </c>
      <c r="J82" s="608">
        <f>G82-D82</f>
        <v>-0.3999999999996362</v>
      </c>
      <c r="K82" s="608">
        <f t="shared" si="13"/>
        <v>0</v>
      </c>
      <c r="L82" s="608">
        <f>I82-F82</f>
        <v>0</v>
      </c>
      <c r="P82" s="509"/>
    </row>
    <row r="83" spans="1:16" s="162" customFormat="1" ht="30.75" customHeight="1">
      <c r="A83" s="300">
        <v>15</v>
      </c>
      <c r="B83" s="505" t="s">
        <v>444</v>
      </c>
      <c r="C83" s="301">
        <v>4264</v>
      </c>
      <c r="D83" s="301"/>
      <c r="E83" s="301"/>
      <c r="F83" s="302">
        <f>SUM(F85:F92)</f>
        <v>136</v>
      </c>
      <c r="G83" s="302"/>
      <c r="H83" s="301"/>
      <c r="I83" s="302">
        <f>SUM(I85:I92)</f>
        <v>135.96</v>
      </c>
      <c r="J83" s="302">
        <f>G83-D83</f>
        <v>0</v>
      </c>
      <c r="K83" s="301"/>
      <c r="L83" s="302">
        <f>I83-F83</f>
        <v>-0.03999999999999204</v>
      </c>
      <c r="N83" s="649"/>
      <c r="O83" s="516"/>
      <c r="P83" s="509"/>
    </row>
    <row r="84" spans="1:16" s="35" customFormat="1" ht="13.5">
      <c r="A84" s="163"/>
      <c r="B84" s="303" t="s">
        <v>86</v>
      </c>
      <c r="C84" s="61"/>
      <c r="D84" s="61"/>
      <c r="E84" s="61"/>
      <c r="F84" s="63"/>
      <c r="G84" s="63"/>
      <c r="H84" s="61"/>
      <c r="I84" s="82"/>
      <c r="J84" s="82"/>
      <c r="K84" s="61"/>
      <c r="L84" s="82"/>
      <c r="P84" s="509"/>
    </row>
    <row r="85" spans="1:16" s="612" customFormat="1" ht="13.5">
      <c r="A85" s="611">
        <v>1</v>
      </c>
      <c r="B85" s="504" t="s">
        <v>445</v>
      </c>
      <c r="C85" s="611" t="s">
        <v>1</v>
      </c>
      <c r="D85" s="611">
        <v>15</v>
      </c>
      <c r="E85" s="611">
        <v>240</v>
      </c>
      <c r="F85" s="609">
        <f aca="true" t="shared" si="14" ref="F85:F92">E85*D85/1000</f>
        <v>3.6</v>
      </c>
      <c r="G85" s="611">
        <v>13</v>
      </c>
      <c r="H85" s="611">
        <v>240</v>
      </c>
      <c r="I85" s="609">
        <f aca="true" t="shared" si="15" ref="I85:I92">H85*G85/1000</f>
        <v>3.12</v>
      </c>
      <c r="J85" s="609">
        <f>G85-D85</f>
        <v>-2</v>
      </c>
      <c r="K85" s="609">
        <f>H85-E85</f>
        <v>0</v>
      </c>
      <c r="L85" s="609">
        <f>I85-F85</f>
        <v>-0.48</v>
      </c>
      <c r="P85" s="509"/>
    </row>
    <row r="86" spans="1:12" s="612" customFormat="1" ht="13.5">
      <c r="A86" s="611">
        <v>2</v>
      </c>
      <c r="B86" s="504" t="s">
        <v>446</v>
      </c>
      <c r="C86" s="611" t="s">
        <v>1</v>
      </c>
      <c r="D86" s="611">
        <v>245</v>
      </c>
      <c r="E86" s="611">
        <v>20</v>
      </c>
      <c r="F86" s="609">
        <f t="shared" si="14"/>
        <v>4.9</v>
      </c>
      <c r="G86" s="611">
        <v>203</v>
      </c>
      <c r="H86" s="611">
        <v>30</v>
      </c>
      <c r="I86" s="609">
        <f t="shared" si="15"/>
        <v>6.09</v>
      </c>
      <c r="J86" s="609">
        <f aca="true" t="shared" si="16" ref="J86:J92">G86-D86</f>
        <v>-42</v>
      </c>
      <c r="K86" s="609">
        <f aca="true" t="shared" si="17" ref="K86:K92">H86-E86</f>
        <v>10</v>
      </c>
      <c r="L86" s="609">
        <f aca="true" t="shared" si="18" ref="L86:L92">I86-F86</f>
        <v>1.1899999999999995</v>
      </c>
    </row>
    <row r="87" spans="1:12" s="612" customFormat="1" ht="13.5">
      <c r="A87" s="611">
        <v>3</v>
      </c>
      <c r="B87" s="504" t="s">
        <v>447</v>
      </c>
      <c r="C87" s="611" t="s">
        <v>1</v>
      </c>
      <c r="D87" s="611">
        <v>10</v>
      </c>
      <c r="E87" s="611">
        <v>1500</v>
      </c>
      <c r="F87" s="609">
        <f t="shared" si="14"/>
        <v>15</v>
      </c>
      <c r="G87" s="611">
        <v>8</v>
      </c>
      <c r="H87" s="611">
        <v>1500</v>
      </c>
      <c r="I87" s="609">
        <f t="shared" si="15"/>
        <v>12</v>
      </c>
      <c r="J87" s="609">
        <f t="shared" si="16"/>
        <v>-2</v>
      </c>
      <c r="K87" s="609">
        <f t="shared" si="17"/>
        <v>0</v>
      </c>
      <c r="L87" s="609">
        <f t="shared" si="18"/>
        <v>-3</v>
      </c>
    </row>
    <row r="88" spans="1:12" s="612" customFormat="1" ht="13.5">
      <c r="A88" s="611">
        <v>4</v>
      </c>
      <c r="B88" s="613" t="s">
        <v>448</v>
      </c>
      <c r="C88" s="611" t="s">
        <v>1</v>
      </c>
      <c r="D88" s="611">
        <v>500</v>
      </c>
      <c r="E88" s="611">
        <v>110</v>
      </c>
      <c r="F88" s="609">
        <f t="shared" si="14"/>
        <v>55</v>
      </c>
      <c r="G88" s="611">
        <v>500</v>
      </c>
      <c r="H88" s="611">
        <v>130</v>
      </c>
      <c r="I88" s="609">
        <f t="shared" si="15"/>
        <v>65</v>
      </c>
      <c r="J88" s="609">
        <f t="shared" si="16"/>
        <v>0</v>
      </c>
      <c r="K88" s="609">
        <f t="shared" si="17"/>
        <v>20</v>
      </c>
      <c r="L88" s="609">
        <f t="shared" si="18"/>
        <v>10</v>
      </c>
    </row>
    <row r="89" spans="1:12" s="612" customFormat="1" ht="13.5">
      <c r="A89" s="611">
        <v>5</v>
      </c>
      <c r="B89" s="613" t="s">
        <v>449</v>
      </c>
      <c r="C89" s="611" t="s">
        <v>1</v>
      </c>
      <c r="D89" s="611">
        <v>28</v>
      </c>
      <c r="E89" s="611">
        <v>450</v>
      </c>
      <c r="F89" s="609">
        <f t="shared" si="14"/>
        <v>12.6</v>
      </c>
      <c r="G89" s="611">
        <v>9</v>
      </c>
      <c r="H89" s="611">
        <v>450</v>
      </c>
      <c r="I89" s="609">
        <f t="shared" si="15"/>
        <v>4.05</v>
      </c>
      <c r="J89" s="609">
        <f t="shared" si="16"/>
        <v>-19</v>
      </c>
      <c r="K89" s="609">
        <f t="shared" si="17"/>
        <v>0</v>
      </c>
      <c r="L89" s="609">
        <f t="shared" si="18"/>
        <v>-8.55</v>
      </c>
    </row>
    <row r="90" spans="1:12" s="612" customFormat="1" ht="13.5">
      <c r="A90" s="611">
        <v>6</v>
      </c>
      <c r="B90" s="613" t="s">
        <v>450</v>
      </c>
      <c r="C90" s="611" t="s">
        <v>1</v>
      </c>
      <c r="D90" s="611">
        <v>25</v>
      </c>
      <c r="E90" s="611">
        <v>500</v>
      </c>
      <c r="F90" s="609">
        <f t="shared" si="14"/>
        <v>12.5</v>
      </c>
      <c r="G90" s="611">
        <v>20</v>
      </c>
      <c r="H90" s="611">
        <v>600</v>
      </c>
      <c r="I90" s="609">
        <f t="shared" si="15"/>
        <v>12</v>
      </c>
      <c r="J90" s="609">
        <f t="shared" si="16"/>
        <v>-5</v>
      </c>
      <c r="K90" s="609">
        <f t="shared" si="17"/>
        <v>100</v>
      </c>
      <c r="L90" s="609">
        <f t="shared" si="18"/>
        <v>-0.5</v>
      </c>
    </row>
    <row r="91" spans="1:12" s="612" customFormat="1" ht="13.5">
      <c r="A91" s="611">
        <v>7</v>
      </c>
      <c r="B91" s="613" t="s">
        <v>451</v>
      </c>
      <c r="C91" s="611" t="s">
        <v>1</v>
      </c>
      <c r="D91" s="611">
        <v>12</v>
      </c>
      <c r="E91" s="611">
        <v>1300</v>
      </c>
      <c r="F91" s="609">
        <f t="shared" si="14"/>
        <v>15.6</v>
      </c>
      <c r="G91" s="611">
        <v>12</v>
      </c>
      <c r="H91" s="611">
        <v>1400</v>
      </c>
      <c r="I91" s="609">
        <f t="shared" si="15"/>
        <v>16.8</v>
      </c>
      <c r="J91" s="609">
        <f t="shared" si="16"/>
        <v>0</v>
      </c>
      <c r="K91" s="609">
        <f t="shared" si="17"/>
        <v>100</v>
      </c>
      <c r="L91" s="609">
        <f t="shared" si="18"/>
        <v>1.200000000000001</v>
      </c>
    </row>
    <row r="92" spans="1:12" s="612" customFormat="1" ht="19.5" customHeight="1">
      <c r="A92" s="611">
        <v>8</v>
      </c>
      <c r="B92" s="613" t="s">
        <v>452</v>
      </c>
      <c r="C92" s="611" t="s">
        <v>1</v>
      </c>
      <c r="D92" s="611">
        <v>14</v>
      </c>
      <c r="E92" s="611">
        <v>1200</v>
      </c>
      <c r="F92" s="609">
        <f t="shared" si="14"/>
        <v>16.8</v>
      </c>
      <c r="G92" s="611">
        <v>13</v>
      </c>
      <c r="H92" s="611">
        <v>1300</v>
      </c>
      <c r="I92" s="609">
        <f t="shared" si="15"/>
        <v>16.9</v>
      </c>
      <c r="J92" s="609">
        <f t="shared" si="16"/>
        <v>-1</v>
      </c>
      <c r="K92" s="609">
        <f t="shared" si="17"/>
        <v>100</v>
      </c>
      <c r="L92" s="609">
        <f t="shared" si="18"/>
        <v>0.09999999999999787</v>
      </c>
    </row>
    <row r="93" spans="1:12" s="35" customFormat="1" ht="21.75" customHeight="1">
      <c r="A93" s="300">
        <v>16</v>
      </c>
      <c r="B93" s="505" t="s">
        <v>841</v>
      </c>
      <c r="C93" s="301"/>
      <c r="D93" s="301">
        <f>D95</f>
        <v>0</v>
      </c>
      <c r="E93" s="301">
        <f aca="true" t="shared" si="19" ref="E93:L93">E95</f>
        <v>0</v>
      </c>
      <c r="F93" s="301">
        <f t="shared" si="19"/>
        <v>0</v>
      </c>
      <c r="G93" s="301">
        <f t="shared" si="19"/>
        <v>1</v>
      </c>
      <c r="H93" s="636">
        <f>H95</f>
        <v>261043000</v>
      </c>
      <c r="I93" s="651">
        <f t="shared" si="19"/>
        <v>261043</v>
      </c>
      <c r="J93" s="651"/>
      <c r="K93" s="636"/>
      <c r="L93" s="301">
        <f t="shared" si="19"/>
        <v>261043</v>
      </c>
    </row>
    <row r="94" spans="1:12" s="35" customFormat="1" ht="13.5">
      <c r="A94" s="61"/>
      <c r="B94" s="303" t="s">
        <v>86</v>
      </c>
      <c r="C94" s="61"/>
      <c r="D94" s="61"/>
      <c r="E94" s="61"/>
      <c r="F94" s="63"/>
      <c r="G94" s="63"/>
      <c r="H94" s="61"/>
      <c r="I94" s="63"/>
      <c r="J94" s="63"/>
      <c r="K94" s="61"/>
      <c r="L94" s="63"/>
    </row>
    <row r="95" spans="1:12" s="35" customFormat="1" ht="21.75" customHeight="1">
      <c r="A95" s="61"/>
      <c r="B95" s="633" t="s">
        <v>847</v>
      </c>
      <c r="C95" s="634">
        <v>5113</v>
      </c>
      <c r="D95" s="82"/>
      <c r="E95" s="82"/>
      <c r="F95" s="82"/>
      <c r="G95" s="61">
        <v>1</v>
      </c>
      <c r="H95" s="394">
        <v>261043000</v>
      </c>
      <c r="I95" s="609">
        <f>H95*G95/1000</f>
        <v>261043</v>
      </c>
      <c r="J95" s="609">
        <f>G95-D95</f>
        <v>1</v>
      </c>
      <c r="K95" s="635">
        <f>H95-E95</f>
        <v>261043000</v>
      </c>
      <c r="L95" s="609">
        <f>I95-F95</f>
        <v>261043</v>
      </c>
    </row>
    <row r="96" spans="1:12" s="35" customFormat="1" ht="13.5">
      <c r="A96" s="511"/>
      <c r="B96" s="265"/>
      <c r="C96" s="511"/>
      <c r="D96" s="511"/>
      <c r="E96" s="511"/>
      <c r="F96" s="512"/>
      <c r="G96" s="512"/>
      <c r="H96" s="511"/>
      <c r="I96" s="512"/>
      <c r="J96" s="512"/>
      <c r="K96" s="511"/>
      <c r="L96" s="512"/>
    </row>
    <row r="99" spans="1:8" ht="26.25" customHeight="1">
      <c r="A99" s="164"/>
      <c r="B99" s="683"/>
      <c r="C99" s="683"/>
      <c r="D99" s="683"/>
      <c r="E99" s="683"/>
      <c r="F99" s="683"/>
      <c r="G99" s="624"/>
      <c r="H99" s="624"/>
    </row>
  </sheetData>
  <sheetProtection/>
  <mergeCells count="5">
    <mergeCell ref="I2:L2"/>
    <mergeCell ref="B99:F99"/>
    <mergeCell ref="D7:F7"/>
    <mergeCell ref="G7:I7"/>
    <mergeCell ref="J7:L7"/>
  </mergeCells>
  <printOptions/>
  <pageMargins left="0.2" right="0.2" top="0.23" bottom="0.29" header="0.21" footer="0.19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7">
      <selection activeCell="N12" sqref="N12"/>
    </sheetView>
  </sheetViews>
  <sheetFormatPr defaultColWidth="9.140625" defaultRowHeight="12.75"/>
  <cols>
    <col min="1" max="1" width="4.00390625" style="4" customWidth="1"/>
    <col min="2" max="2" width="26.140625" style="4" customWidth="1"/>
    <col min="3" max="3" width="11.7109375" style="4" customWidth="1"/>
    <col min="4" max="4" width="14.7109375" style="4" customWidth="1"/>
    <col min="5" max="5" width="13.421875" style="4" customWidth="1"/>
    <col min="6" max="6" width="9.57421875" style="4" customWidth="1"/>
    <col min="7" max="7" width="14.7109375" style="4" customWidth="1"/>
    <col min="8" max="8" width="13.57421875" style="4" customWidth="1"/>
    <col min="9" max="9" width="9.00390625" style="4" customWidth="1"/>
    <col min="10" max="10" width="14.421875" style="4" customWidth="1"/>
    <col min="11" max="11" width="13.421875" style="4" customWidth="1"/>
    <col min="12" max="12" width="9.28125" style="4" customWidth="1"/>
    <col min="13" max="13" width="11.00390625" style="4" customWidth="1"/>
    <col min="14" max="14" width="10.140625" style="4" customWidth="1"/>
    <col min="15" max="15" width="15.7109375" style="571" customWidth="1"/>
    <col min="16" max="16384" width="9.140625" style="4" customWidth="1"/>
  </cols>
  <sheetData>
    <row r="1" spans="1:16" s="27" customFormat="1" ht="23.25" customHeight="1">
      <c r="A1" s="236"/>
      <c r="B1" s="466"/>
      <c r="C1" s="2"/>
      <c r="D1" s="2"/>
      <c r="E1" s="2"/>
      <c r="F1" s="2"/>
      <c r="G1" s="2"/>
      <c r="H1" s="2"/>
      <c r="I1" s="466"/>
      <c r="J1" s="466"/>
      <c r="K1" s="2"/>
      <c r="L1" s="2"/>
      <c r="M1" s="2"/>
      <c r="N1" s="98" t="s">
        <v>411</v>
      </c>
      <c r="O1" s="514"/>
      <c r="P1" s="26"/>
    </row>
    <row r="2" spans="1:16" s="27" customFormat="1" ht="15" customHeight="1">
      <c r="A2" s="236"/>
      <c r="B2" s="467"/>
      <c r="C2" s="468"/>
      <c r="D2" s="468"/>
      <c r="E2" s="2"/>
      <c r="F2" s="468"/>
      <c r="G2" s="468"/>
      <c r="H2" s="2"/>
      <c r="I2" s="468"/>
      <c r="J2" s="468"/>
      <c r="K2" s="2"/>
      <c r="L2" s="468"/>
      <c r="M2" s="468"/>
      <c r="N2" s="2"/>
      <c r="O2" s="574"/>
      <c r="P2" s="26"/>
    </row>
    <row r="3" spans="2:16" s="27" customFormat="1" ht="18" thickBot="1">
      <c r="B3" s="18" t="s">
        <v>11</v>
      </c>
      <c r="C3" s="694" t="s">
        <v>470</v>
      </c>
      <c r="D3" s="694"/>
      <c r="E3" s="694"/>
      <c r="F3" s="694"/>
      <c r="G3" s="694"/>
      <c r="H3" s="694"/>
      <c r="I3" s="694"/>
      <c r="J3" s="694"/>
      <c r="K3" s="694"/>
      <c r="L3" s="694"/>
      <c r="M3" s="461"/>
      <c r="N3" s="491"/>
      <c r="O3" s="491"/>
      <c r="P3" s="26"/>
    </row>
    <row r="4" s="27" customFormat="1" ht="13.5">
      <c r="O4" s="571"/>
    </row>
    <row r="5" spans="1:20" s="40" customFormat="1" ht="17.25">
      <c r="A5" s="463" t="s">
        <v>59</v>
      </c>
      <c r="B5" s="463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575"/>
      <c r="P5" s="27"/>
      <c r="Q5" s="27"/>
      <c r="R5" s="27"/>
      <c r="S5" s="27"/>
      <c r="T5" s="27"/>
    </row>
    <row r="6" spans="1:20" s="40" customFormat="1" ht="17.25">
      <c r="A6" s="464" t="s">
        <v>351</v>
      </c>
      <c r="B6" s="464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576"/>
      <c r="P6" s="27"/>
      <c r="Q6" s="27"/>
      <c r="R6" s="27"/>
      <c r="S6" s="27"/>
      <c r="T6" s="27"/>
    </row>
    <row r="7" spans="14:15" s="27" customFormat="1" ht="13.5">
      <c r="N7" s="277" t="s">
        <v>178</v>
      </c>
      <c r="O7" s="577"/>
    </row>
    <row r="8" spans="1:15" ht="31.5" customHeight="1">
      <c r="A8" s="690" t="s">
        <v>72</v>
      </c>
      <c r="B8" s="692" t="s">
        <v>350</v>
      </c>
      <c r="C8" s="469" t="s">
        <v>348</v>
      </c>
      <c r="D8" s="470"/>
      <c r="E8" s="471"/>
      <c r="F8" s="469" t="s">
        <v>347</v>
      </c>
      <c r="G8" s="470"/>
      <c r="H8" s="471"/>
      <c r="I8" s="469" t="s">
        <v>346</v>
      </c>
      <c r="J8" s="470"/>
      <c r="K8" s="471"/>
      <c r="L8" s="695" t="s">
        <v>349</v>
      </c>
      <c r="M8" s="696"/>
      <c r="N8" s="696"/>
      <c r="O8" s="697"/>
    </row>
    <row r="9" spans="1:15" ht="77.25" customHeight="1">
      <c r="A9" s="691"/>
      <c r="B9" s="693"/>
      <c r="C9" s="20" t="s">
        <v>406</v>
      </c>
      <c r="D9" s="20" t="s">
        <v>404</v>
      </c>
      <c r="E9" s="20" t="s">
        <v>378</v>
      </c>
      <c r="F9" s="20" t="s">
        <v>406</v>
      </c>
      <c r="G9" s="20" t="s">
        <v>405</v>
      </c>
      <c r="H9" s="20" t="s">
        <v>394</v>
      </c>
      <c r="I9" s="20" t="s">
        <v>406</v>
      </c>
      <c r="J9" s="20" t="s">
        <v>405</v>
      </c>
      <c r="K9" s="20" t="s">
        <v>395</v>
      </c>
      <c r="L9" s="20" t="s">
        <v>406</v>
      </c>
      <c r="M9" s="20" t="s">
        <v>407</v>
      </c>
      <c r="N9" s="20" t="s">
        <v>378</v>
      </c>
      <c r="O9" s="520" t="s">
        <v>396</v>
      </c>
    </row>
    <row r="10" spans="1:15" s="135" customFormat="1" ht="13.5">
      <c r="A10" s="455">
        <v>1</v>
      </c>
      <c r="B10" s="79">
        <v>2</v>
      </c>
      <c r="C10" s="84">
        <v>3</v>
      </c>
      <c r="D10" s="79">
        <v>4</v>
      </c>
      <c r="E10" s="84">
        <v>5</v>
      </c>
      <c r="F10" s="79">
        <v>6</v>
      </c>
      <c r="G10" s="84">
        <v>7</v>
      </c>
      <c r="H10" s="79">
        <v>8</v>
      </c>
      <c r="I10" s="84">
        <v>9</v>
      </c>
      <c r="J10" s="79">
        <v>10</v>
      </c>
      <c r="K10" s="84">
        <v>11</v>
      </c>
      <c r="L10" s="79">
        <v>12</v>
      </c>
      <c r="M10" s="84">
        <v>13</v>
      </c>
      <c r="N10" s="79">
        <v>14</v>
      </c>
      <c r="O10" s="578"/>
    </row>
    <row r="11" spans="1:15" s="183" customFormat="1" ht="121.5" customHeight="1">
      <c r="A11" s="192"/>
      <c r="B11" s="472" t="s">
        <v>379</v>
      </c>
      <c r="C11" s="399">
        <f>+C13+C25+C29</f>
        <v>184</v>
      </c>
      <c r="D11" s="399" t="s">
        <v>1</v>
      </c>
      <c r="E11" s="399">
        <f>+(E13+E25+E29)</f>
        <v>70000</v>
      </c>
      <c r="F11" s="399">
        <f>+F13+F25+F29</f>
        <v>236</v>
      </c>
      <c r="G11" s="399" t="s">
        <v>1</v>
      </c>
      <c r="H11" s="399">
        <f>+(H13+H25+H29)</f>
        <v>130000</v>
      </c>
      <c r="I11" s="399">
        <f>+I13+I25+I29</f>
        <v>91</v>
      </c>
      <c r="J11" s="399" t="s">
        <v>1</v>
      </c>
      <c r="K11" s="399">
        <f>+(K13+K25+K29)</f>
        <v>50360</v>
      </c>
      <c r="L11" s="399">
        <f>+L13+L25+L29</f>
        <v>-145</v>
      </c>
      <c r="M11" s="399" t="s">
        <v>1</v>
      </c>
      <c r="N11" s="399">
        <f>+(N13+N25+N29)</f>
        <v>-79640</v>
      </c>
      <c r="O11" s="570" t="s">
        <v>686</v>
      </c>
    </row>
    <row r="12" spans="1:17" ht="13.5">
      <c r="A12" s="75"/>
      <c r="B12" s="7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79"/>
      <c r="Q12" s="566"/>
    </row>
    <row r="13" spans="1:15" s="183" customFormat="1" ht="49.5">
      <c r="A13" s="465"/>
      <c r="B13" s="350" t="s">
        <v>345</v>
      </c>
      <c r="C13" s="399">
        <f>+C15+C19</f>
        <v>184</v>
      </c>
      <c r="D13" s="399" t="s">
        <v>1</v>
      </c>
      <c r="E13" s="399">
        <f>+E15+E19</f>
        <v>70000</v>
      </c>
      <c r="F13" s="399">
        <f aca="true" t="shared" si="0" ref="F13:N13">+F15+F19</f>
        <v>236</v>
      </c>
      <c r="G13" s="399" t="s">
        <v>1</v>
      </c>
      <c r="H13" s="399">
        <f t="shared" si="0"/>
        <v>130000</v>
      </c>
      <c r="I13" s="399">
        <f t="shared" si="0"/>
        <v>91</v>
      </c>
      <c r="J13" s="399" t="s">
        <v>1</v>
      </c>
      <c r="K13" s="399">
        <f t="shared" si="0"/>
        <v>50360</v>
      </c>
      <c r="L13" s="399">
        <f t="shared" si="0"/>
        <v>-145</v>
      </c>
      <c r="M13" s="399" t="s">
        <v>1</v>
      </c>
      <c r="N13" s="399">
        <f t="shared" si="0"/>
        <v>-79640</v>
      </c>
      <c r="O13" s="560"/>
    </row>
    <row r="14" spans="1:15" ht="13.5">
      <c r="A14" s="188"/>
      <c r="B14" s="77" t="s">
        <v>73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79"/>
    </row>
    <row r="15" spans="1:17" s="183" customFormat="1" ht="16.5">
      <c r="A15" s="465">
        <v>1</v>
      </c>
      <c r="B15" s="473" t="s">
        <v>339</v>
      </c>
      <c r="C15" s="399">
        <f>SUM(C16:C18)</f>
        <v>184</v>
      </c>
      <c r="D15" s="399" t="s">
        <v>1</v>
      </c>
      <c r="E15" s="399">
        <f aca="true" t="shared" si="1" ref="E15:N15">SUM(E16:E18)</f>
        <v>70000</v>
      </c>
      <c r="F15" s="399">
        <f t="shared" si="1"/>
        <v>236</v>
      </c>
      <c r="G15" s="399" t="s">
        <v>1</v>
      </c>
      <c r="H15" s="399">
        <f>SUM(H16:H18)</f>
        <v>130000</v>
      </c>
      <c r="I15" s="399">
        <f t="shared" si="1"/>
        <v>91</v>
      </c>
      <c r="J15" s="399" t="s">
        <v>1</v>
      </c>
      <c r="K15" s="399">
        <f t="shared" si="1"/>
        <v>50360</v>
      </c>
      <c r="L15" s="399">
        <f t="shared" si="1"/>
        <v>-145</v>
      </c>
      <c r="M15" s="399" t="s">
        <v>1</v>
      </c>
      <c r="N15" s="399">
        <f t="shared" si="1"/>
        <v>-79640</v>
      </c>
      <c r="O15" s="560"/>
      <c r="Q15" s="573"/>
    </row>
    <row r="16" spans="1:19" ht="14.25">
      <c r="A16" s="188">
        <v>1.1</v>
      </c>
      <c r="B16" s="75" t="s">
        <v>340</v>
      </c>
      <c r="C16" s="58"/>
      <c r="D16" s="58" t="e">
        <f>+E16/C16</f>
        <v>#DIV/0!</v>
      </c>
      <c r="E16" s="58"/>
      <c r="F16" s="58">
        <v>36</v>
      </c>
      <c r="G16" s="166">
        <v>500</v>
      </c>
      <c r="H16" s="62">
        <f>+F16*G16</f>
        <v>18000</v>
      </c>
      <c r="I16" s="58">
        <v>10</v>
      </c>
      <c r="J16" s="58">
        <v>500</v>
      </c>
      <c r="K16" s="62">
        <f>+I16*J16</f>
        <v>5000</v>
      </c>
      <c r="L16" s="58">
        <f aca="true" t="shared" si="2" ref="L16:N18">+I16-F16</f>
        <v>-26</v>
      </c>
      <c r="M16" s="58">
        <f t="shared" si="2"/>
        <v>0</v>
      </c>
      <c r="N16" s="58">
        <f t="shared" si="2"/>
        <v>-13000</v>
      </c>
      <c r="O16" s="579"/>
      <c r="S16" s="183"/>
    </row>
    <row r="17" spans="1:19" ht="14.25">
      <c r="A17" s="188">
        <v>1.2</v>
      </c>
      <c r="B17" s="75" t="s">
        <v>341</v>
      </c>
      <c r="C17" s="58">
        <v>184</v>
      </c>
      <c r="D17" s="166">
        <f>+E17/C17</f>
        <v>380.4347826086956</v>
      </c>
      <c r="E17" s="62">
        <v>70000</v>
      </c>
      <c r="F17" s="58">
        <v>200</v>
      </c>
      <c r="G17" s="166">
        <v>560</v>
      </c>
      <c r="H17" s="62">
        <f>+F17*G17</f>
        <v>112000</v>
      </c>
      <c r="I17" s="58">
        <v>81</v>
      </c>
      <c r="J17" s="58">
        <v>560</v>
      </c>
      <c r="K17" s="62">
        <f>+I17*J17</f>
        <v>45360</v>
      </c>
      <c r="L17" s="58">
        <f t="shared" si="2"/>
        <v>-119</v>
      </c>
      <c r="M17" s="58">
        <f t="shared" si="2"/>
        <v>0</v>
      </c>
      <c r="N17" s="58">
        <f t="shared" si="2"/>
        <v>-66640</v>
      </c>
      <c r="O17" s="579"/>
      <c r="S17" s="183"/>
    </row>
    <row r="18" spans="1:15" ht="13.5">
      <c r="A18" s="188">
        <v>1.3</v>
      </c>
      <c r="B18" s="75" t="s">
        <v>342</v>
      </c>
      <c r="C18" s="58"/>
      <c r="D18" s="58" t="e">
        <f>+E18/C18</f>
        <v>#DIV/0!</v>
      </c>
      <c r="E18" s="62"/>
      <c r="F18" s="58"/>
      <c r="G18" s="58"/>
      <c r="H18" s="62">
        <f>+F18*G18</f>
        <v>0</v>
      </c>
      <c r="I18" s="58"/>
      <c r="J18" s="58"/>
      <c r="K18" s="62">
        <f>+I18*J18</f>
        <v>0</v>
      </c>
      <c r="L18" s="58">
        <f t="shared" si="2"/>
        <v>0</v>
      </c>
      <c r="M18" s="58">
        <f t="shared" si="2"/>
        <v>0</v>
      </c>
      <c r="N18" s="58">
        <f t="shared" si="2"/>
        <v>0</v>
      </c>
      <c r="O18" s="579"/>
    </row>
    <row r="19" spans="1:15" s="183" customFormat="1" ht="16.5">
      <c r="A19" s="183">
        <v>2</v>
      </c>
      <c r="B19" s="473" t="s">
        <v>343</v>
      </c>
      <c r="C19" s="399">
        <f>SUM(C20:C22)</f>
        <v>0</v>
      </c>
      <c r="D19" s="399" t="s">
        <v>1</v>
      </c>
      <c r="E19" s="399">
        <f>SUM(E20:E22)</f>
        <v>0</v>
      </c>
      <c r="F19" s="399">
        <f>SUM(F20:F22)</f>
        <v>0</v>
      </c>
      <c r="G19" s="399" t="s">
        <v>1</v>
      </c>
      <c r="H19" s="399"/>
      <c r="I19" s="399">
        <f>SUM(I20:I22)</f>
        <v>0</v>
      </c>
      <c r="J19" s="399" t="s">
        <v>1</v>
      </c>
      <c r="K19" s="399">
        <f>SUM(K20:K22)</f>
        <v>0</v>
      </c>
      <c r="L19" s="399">
        <f>SUM(L20:L22)</f>
        <v>0</v>
      </c>
      <c r="M19" s="399" t="s">
        <v>1</v>
      </c>
      <c r="N19" s="399">
        <f>SUM(N20:N22)</f>
        <v>0</v>
      </c>
      <c r="O19" s="560"/>
    </row>
    <row r="20" spans="1:15" ht="13.5">
      <c r="A20" s="188">
        <v>2.1</v>
      </c>
      <c r="B20" s="75" t="s">
        <v>340</v>
      </c>
      <c r="C20" s="58"/>
      <c r="D20" s="58" t="e">
        <f>+E20/C20</f>
        <v>#DIV/0!</v>
      </c>
      <c r="E20" s="62"/>
      <c r="F20" s="58"/>
      <c r="G20" s="58"/>
      <c r="H20" s="62"/>
      <c r="I20" s="58"/>
      <c r="J20" s="58"/>
      <c r="K20" s="62">
        <f>+I20*J20</f>
        <v>0</v>
      </c>
      <c r="L20" s="58">
        <f aca="true" t="shared" si="3" ref="L20:N23">+I20-F20</f>
        <v>0</v>
      </c>
      <c r="M20" s="58">
        <f t="shared" si="3"/>
        <v>0</v>
      </c>
      <c r="N20" s="58">
        <f t="shared" si="3"/>
        <v>0</v>
      </c>
      <c r="O20" s="579"/>
    </row>
    <row r="21" spans="1:15" ht="13.5">
      <c r="A21" s="188">
        <v>2.2</v>
      </c>
      <c r="B21" s="75" t="s">
        <v>341</v>
      </c>
      <c r="C21" s="58"/>
      <c r="D21" s="58" t="e">
        <f>+E21/C21</f>
        <v>#DIV/0!</v>
      </c>
      <c r="E21" s="62"/>
      <c r="F21" s="58"/>
      <c r="G21" s="58"/>
      <c r="H21" s="62"/>
      <c r="I21" s="58"/>
      <c r="J21" s="58"/>
      <c r="K21" s="62">
        <f>+I21*J21</f>
        <v>0</v>
      </c>
      <c r="L21" s="58">
        <f t="shared" si="3"/>
        <v>0</v>
      </c>
      <c r="M21" s="58">
        <f t="shared" si="3"/>
        <v>0</v>
      </c>
      <c r="N21" s="58">
        <f t="shared" si="3"/>
        <v>0</v>
      </c>
      <c r="O21" s="579"/>
    </row>
    <row r="22" spans="1:15" ht="13.5">
      <c r="A22" s="188">
        <v>2.3</v>
      </c>
      <c r="B22" s="75" t="s">
        <v>342</v>
      </c>
      <c r="C22" s="58"/>
      <c r="D22" s="58" t="e">
        <f>+E22/C22</f>
        <v>#DIV/0!</v>
      </c>
      <c r="E22" s="62"/>
      <c r="F22" s="58"/>
      <c r="G22" s="58"/>
      <c r="H22" s="62">
        <f>+F22*G22</f>
        <v>0</v>
      </c>
      <c r="I22" s="58"/>
      <c r="J22" s="58"/>
      <c r="K22" s="62">
        <f>+I22*J22</f>
        <v>0</v>
      </c>
      <c r="L22" s="58">
        <f t="shared" si="3"/>
        <v>0</v>
      </c>
      <c r="M22" s="58">
        <f t="shared" si="3"/>
        <v>0</v>
      </c>
      <c r="N22" s="58">
        <f t="shared" si="3"/>
        <v>0</v>
      </c>
      <c r="O22" s="579"/>
    </row>
    <row r="23" spans="1:15" s="571" customFormat="1" ht="16.5">
      <c r="A23" s="568">
        <v>3</v>
      </c>
      <c r="B23" s="569" t="s">
        <v>403</v>
      </c>
      <c r="C23" s="560">
        <f>168+500</f>
        <v>668</v>
      </c>
      <c r="D23" s="560">
        <f>+E23/C23</f>
        <v>87.54491017964072</v>
      </c>
      <c r="E23" s="570">
        <f>38480+20000</f>
        <v>58480</v>
      </c>
      <c r="F23" s="560">
        <v>290</v>
      </c>
      <c r="G23" s="560">
        <v>380</v>
      </c>
      <c r="H23" s="570">
        <f>+F23*G23</f>
        <v>110200</v>
      </c>
      <c r="I23" s="560">
        <v>100</v>
      </c>
      <c r="J23" s="560">
        <v>380</v>
      </c>
      <c r="K23" s="570">
        <f>+I23*J23</f>
        <v>38000</v>
      </c>
      <c r="L23" s="560">
        <f t="shared" si="3"/>
        <v>-190</v>
      </c>
      <c r="M23" s="560">
        <f t="shared" si="3"/>
        <v>0</v>
      </c>
      <c r="N23" s="560">
        <f t="shared" si="3"/>
        <v>-72200</v>
      </c>
      <c r="O23" s="560"/>
    </row>
    <row r="24" spans="1:15" s="571" customFormat="1" ht="16.5">
      <c r="A24" s="568">
        <v>4</v>
      </c>
      <c r="B24" s="569" t="s">
        <v>469</v>
      </c>
      <c r="C24" s="560">
        <v>96</v>
      </c>
      <c r="D24" s="560">
        <f>+E24/C24</f>
        <v>120</v>
      </c>
      <c r="E24" s="570">
        <v>11520</v>
      </c>
      <c r="F24" s="560">
        <v>165</v>
      </c>
      <c r="G24" s="560">
        <v>120</v>
      </c>
      <c r="H24" s="570">
        <f>+F24*G24</f>
        <v>19800</v>
      </c>
      <c r="I24" s="560">
        <v>103</v>
      </c>
      <c r="J24" s="560">
        <v>120</v>
      </c>
      <c r="K24" s="570">
        <f>+I24*J24</f>
        <v>12360</v>
      </c>
      <c r="L24" s="560"/>
      <c r="M24" s="560"/>
      <c r="N24" s="560"/>
      <c r="O24" s="560"/>
    </row>
    <row r="25" spans="1:15" s="183" customFormat="1" ht="51" customHeight="1">
      <c r="A25" s="465"/>
      <c r="B25" s="350" t="s">
        <v>344</v>
      </c>
      <c r="C25" s="399">
        <f>SUM(C27:C28)</f>
        <v>0</v>
      </c>
      <c r="D25" s="399" t="s">
        <v>1</v>
      </c>
      <c r="E25" s="399">
        <f aca="true" t="shared" si="4" ref="E25:N25">SUM(E27:E28)</f>
        <v>0</v>
      </c>
      <c r="F25" s="399">
        <f t="shared" si="4"/>
        <v>0</v>
      </c>
      <c r="G25" s="399" t="s">
        <v>1</v>
      </c>
      <c r="H25" s="399">
        <f t="shared" si="4"/>
        <v>0</v>
      </c>
      <c r="I25" s="399">
        <f t="shared" si="4"/>
        <v>0</v>
      </c>
      <c r="J25" s="399" t="s">
        <v>1</v>
      </c>
      <c r="K25" s="399">
        <f t="shared" si="4"/>
        <v>0</v>
      </c>
      <c r="L25" s="399">
        <f t="shared" si="4"/>
        <v>0</v>
      </c>
      <c r="M25" s="399" t="s">
        <v>1</v>
      </c>
      <c r="N25" s="399">
        <f t="shared" si="4"/>
        <v>0</v>
      </c>
      <c r="O25" s="560"/>
    </row>
    <row r="26" spans="1:15" ht="13.5">
      <c r="A26" s="188"/>
      <c r="B26" s="77" t="s">
        <v>73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79"/>
    </row>
    <row r="27" spans="1:15" ht="13.5">
      <c r="A27" s="188">
        <v>3.1</v>
      </c>
      <c r="B27" s="75" t="s">
        <v>340</v>
      </c>
      <c r="C27" s="58"/>
      <c r="D27" s="58" t="e">
        <f>+E27/C27</f>
        <v>#DIV/0!</v>
      </c>
      <c r="E27" s="62"/>
      <c r="F27" s="58"/>
      <c r="G27" s="58"/>
      <c r="H27" s="62">
        <f>+F27*G27</f>
        <v>0</v>
      </c>
      <c r="I27" s="58"/>
      <c r="J27" s="58"/>
      <c r="K27" s="62">
        <f>+I27*J27</f>
        <v>0</v>
      </c>
      <c r="L27" s="58"/>
      <c r="M27" s="58">
        <f>+J27-G27</f>
        <v>0</v>
      </c>
      <c r="N27" s="62"/>
      <c r="O27" s="580"/>
    </row>
    <row r="28" spans="1:15" ht="13.5">
      <c r="A28" s="188">
        <v>3.2</v>
      </c>
      <c r="B28" s="75" t="s">
        <v>342</v>
      </c>
      <c r="C28" s="58"/>
      <c r="D28" s="58" t="e">
        <f>+E28/C28</f>
        <v>#DIV/0!</v>
      </c>
      <c r="E28" s="62"/>
      <c r="F28" s="58"/>
      <c r="G28" s="58"/>
      <c r="H28" s="62">
        <f>+F28*G28</f>
        <v>0</v>
      </c>
      <c r="I28" s="58"/>
      <c r="J28" s="58"/>
      <c r="K28" s="62">
        <f>+I28*J28</f>
        <v>0</v>
      </c>
      <c r="L28" s="58"/>
      <c r="M28" s="58">
        <f>+J28-G28</f>
        <v>0</v>
      </c>
      <c r="N28" s="62"/>
      <c r="O28" s="580"/>
    </row>
    <row r="29" spans="1:15" s="183" customFormat="1" ht="33">
      <c r="A29" s="465"/>
      <c r="B29" s="350" t="s">
        <v>352</v>
      </c>
      <c r="C29" s="399">
        <f>SUM(C31:C32)</f>
        <v>0</v>
      </c>
      <c r="D29" s="399" t="s">
        <v>1</v>
      </c>
      <c r="E29" s="399">
        <f aca="true" t="shared" si="5" ref="E29:N29">SUM(E31:E32)</f>
        <v>0</v>
      </c>
      <c r="F29" s="399">
        <f t="shared" si="5"/>
        <v>0</v>
      </c>
      <c r="G29" s="399" t="s">
        <v>1</v>
      </c>
      <c r="H29" s="399">
        <f t="shared" si="5"/>
        <v>0</v>
      </c>
      <c r="I29" s="399">
        <f t="shared" si="5"/>
        <v>0</v>
      </c>
      <c r="J29" s="399" t="s">
        <v>1</v>
      </c>
      <c r="K29" s="399">
        <f t="shared" si="5"/>
        <v>0</v>
      </c>
      <c r="L29" s="399">
        <f t="shared" si="5"/>
        <v>0</v>
      </c>
      <c r="M29" s="399" t="s">
        <v>1</v>
      </c>
      <c r="N29" s="399">
        <f t="shared" si="5"/>
        <v>0</v>
      </c>
      <c r="O29" s="560"/>
    </row>
    <row r="30" spans="1:15" ht="21.75" customHeight="1">
      <c r="A30" s="75"/>
      <c r="B30" s="474" t="s">
        <v>355</v>
      </c>
      <c r="C30" s="58"/>
      <c r="D30" s="58"/>
      <c r="E30" s="62"/>
      <c r="F30" s="58"/>
      <c r="G30" s="58"/>
      <c r="H30" s="62"/>
      <c r="I30" s="58"/>
      <c r="J30" s="58"/>
      <c r="K30" s="62"/>
      <c r="L30" s="58"/>
      <c r="M30" s="58"/>
      <c r="N30" s="62"/>
      <c r="O30" s="580"/>
    </row>
    <row r="31" spans="1:15" ht="13.5">
      <c r="A31" s="75" t="s">
        <v>353</v>
      </c>
      <c r="B31" s="75" t="s">
        <v>354</v>
      </c>
      <c r="C31" s="58"/>
      <c r="D31" s="58"/>
      <c r="E31" s="62"/>
      <c r="F31" s="58"/>
      <c r="G31" s="58"/>
      <c r="H31" s="62"/>
      <c r="I31" s="58"/>
      <c r="J31" s="58"/>
      <c r="K31" s="62"/>
      <c r="L31" s="58"/>
      <c r="M31" s="58"/>
      <c r="N31" s="62"/>
      <c r="O31" s="580"/>
    </row>
    <row r="32" spans="1:15" ht="13.5">
      <c r="A32" s="75"/>
      <c r="B32" s="75"/>
      <c r="C32" s="58"/>
      <c r="D32" s="58"/>
      <c r="E32" s="62"/>
      <c r="F32" s="58"/>
      <c r="G32" s="58"/>
      <c r="H32" s="62"/>
      <c r="I32" s="58"/>
      <c r="J32" s="58"/>
      <c r="K32" s="62"/>
      <c r="L32" s="58"/>
      <c r="M32" s="58"/>
      <c r="N32" s="62"/>
      <c r="O32" s="580"/>
    </row>
    <row r="33" ht="28.5" customHeight="1">
      <c r="B33" s="477"/>
    </row>
    <row r="34" ht="13.5">
      <c r="A34" s="4" t="s">
        <v>7</v>
      </c>
    </row>
  </sheetData>
  <sheetProtection/>
  <mergeCells count="4">
    <mergeCell ref="A8:A9"/>
    <mergeCell ref="B8:B9"/>
    <mergeCell ref="C3:L3"/>
    <mergeCell ref="L8:O8"/>
  </mergeCells>
  <printOptions/>
  <pageMargins left="0.25" right="0.33" top="0.7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41"/>
  <sheetViews>
    <sheetView zoomScalePageLayoutView="0" workbookViewId="0" topLeftCell="A22">
      <selection activeCell="M39" sqref="M39"/>
    </sheetView>
  </sheetViews>
  <sheetFormatPr defaultColWidth="9.140625" defaultRowHeight="12.75"/>
  <cols>
    <col min="1" max="1" width="6.28125" style="4" customWidth="1"/>
    <col min="2" max="2" width="4.28125" style="3" customWidth="1"/>
    <col min="3" max="3" width="31.7109375" style="74" customWidth="1"/>
    <col min="4" max="4" width="10.00390625" style="68" customWidth="1"/>
    <col min="5" max="5" width="10.57421875" style="68" customWidth="1"/>
    <col min="6" max="6" width="20.00390625" style="68" customWidth="1"/>
    <col min="7" max="7" width="11.8515625" style="68" customWidth="1"/>
    <col min="8" max="8" width="20.00390625" style="68" customWidth="1"/>
    <col min="9" max="9" width="14.00390625" style="3" customWidth="1"/>
    <col min="10" max="10" width="16.140625" style="4" customWidth="1"/>
    <col min="11" max="11" width="13.421875" style="4" customWidth="1"/>
    <col min="12" max="12" width="14.00390625" style="3" customWidth="1"/>
    <col min="13" max="13" width="17.7109375" style="3" customWidth="1"/>
    <col min="14" max="14" width="14.00390625" style="4" bestFit="1" customWidth="1"/>
    <col min="15" max="15" width="9.140625" style="4" customWidth="1"/>
    <col min="16" max="16" width="11.28125" style="4" bestFit="1" customWidth="1"/>
    <col min="17" max="16384" width="9.140625" style="4" customWidth="1"/>
  </cols>
  <sheetData>
    <row r="1" spans="2:11" s="27" customFormat="1" ht="14.25">
      <c r="B1" s="225"/>
      <c r="C1" s="495"/>
      <c r="D1" s="208"/>
      <c r="E1" s="208"/>
      <c r="F1" s="208"/>
      <c r="G1" s="208"/>
      <c r="H1" s="208"/>
      <c r="J1" s="26"/>
      <c r="K1" s="26"/>
    </row>
    <row r="2" spans="2:13" s="237" customFormat="1" ht="17.25" customHeight="1">
      <c r="B2" s="236"/>
      <c r="C2" s="467"/>
      <c r="D2" s="1"/>
      <c r="E2" s="1"/>
      <c r="F2" s="1"/>
      <c r="G2" s="1"/>
      <c r="H2" s="1"/>
      <c r="M2" s="454" t="s">
        <v>194</v>
      </c>
    </row>
    <row r="3" spans="2:10" s="237" customFormat="1" ht="27" customHeight="1" thickBot="1">
      <c r="B3" s="27"/>
      <c r="C3" s="18" t="s">
        <v>11</v>
      </c>
      <c r="D3" s="694" t="s">
        <v>454</v>
      </c>
      <c r="E3" s="694"/>
      <c r="F3" s="694"/>
      <c r="G3" s="694"/>
      <c r="H3" s="694"/>
      <c r="I3" s="694"/>
      <c r="J3" s="694"/>
    </row>
    <row r="4" spans="2:13" s="40" customFormat="1" ht="31.5" customHeight="1">
      <c r="B4" s="36"/>
      <c r="C4" s="88" t="s">
        <v>59</v>
      </c>
      <c r="D4" s="37"/>
      <c r="E4" s="37"/>
      <c r="F4" s="185"/>
      <c r="G4" s="37"/>
      <c r="H4" s="37"/>
      <c r="I4" s="36"/>
      <c r="J4" s="38"/>
      <c r="K4" s="38"/>
      <c r="L4" s="36"/>
      <c r="M4" s="36"/>
    </row>
    <row r="5" spans="2:13" s="40" customFormat="1" ht="27">
      <c r="B5" s="36"/>
      <c r="C5" s="88" t="s">
        <v>376</v>
      </c>
      <c r="D5" s="37"/>
      <c r="E5" s="37"/>
      <c r="F5" s="185"/>
      <c r="G5" s="37"/>
      <c r="H5" s="37"/>
      <c r="I5" s="36"/>
      <c r="J5" s="38"/>
      <c r="K5" s="38"/>
      <c r="L5" s="36"/>
      <c r="M5" s="36"/>
    </row>
    <row r="6" spans="2:13" s="11" customFormat="1" ht="12.75">
      <c r="B6" s="36"/>
      <c r="C6" s="39"/>
      <c r="D6" s="39"/>
      <c r="E6" s="39"/>
      <c r="F6" s="39"/>
      <c r="G6" s="39"/>
      <c r="H6" s="39"/>
      <c r="I6" s="36"/>
      <c r="J6" s="40"/>
      <c r="K6" s="40"/>
      <c r="L6" s="36"/>
      <c r="M6" s="36"/>
    </row>
    <row r="7" spans="2:13" s="11" customFormat="1" ht="25.5">
      <c r="B7" s="41"/>
      <c r="C7" s="42"/>
      <c r="D7" s="43"/>
      <c r="E7" s="44" t="s">
        <v>399</v>
      </c>
      <c r="F7" s="49"/>
      <c r="G7" s="44" t="s">
        <v>399</v>
      </c>
      <c r="H7" s="49"/>
      <c r="I7" s="664" t="s">
        <v>358</v>
      </c>
      <c r="J7" s="45" t="s">
        <v>360</v>
      </c>
      <c r="K7" s="45"/>
      <c r="L7" s="45"/>
      <c r="M7" s="41"/>
    </row>
    <row r="8" spans="2:13" ht="76.5">
      <c r="B8" s="46"/>
      <c r="C8" s="47"/>
      <c r="D8" s="48"/>
      <c r="E8" s="44" t="s">
        <v>356</v>
      </c>
      <c r="F8" s="49"/>
      <c r="G8" s="49" t="s">
        <v>357</v>
      </c>
      <c r="H8" s="49"/>
      <c r="I8" s="665"/>
      <c r="J8" s="50" t="s">
        <v>361</v>
      </c>
      <c r="K8" s="50" t="s">
        <v>362</v>
      </c>
      <c r="L8" s="50" t="s">
        <v>363</v>
      </c>
      <c r="M8" s="52" t="s">
        <v>62</v>
      </c>
    </row>
    <row r="9" spans="2:13" s="55" customFormat="1" ht="25.5">
      <c r="B9" s="53" t="s">
        <v>71</v>
      </c>
      <c r="C9" s="54" t="s">
        <v>63</v>
      </c>
      <c r="D9" s="53"/>
      <c r="E9" s="10" t="s">
        <v>60</v>
      </c>
      <c r="F9" s="518" t="s">
        <v>400</v>
      </c>
      <c r="G9" s="10" t="s">
        <v>60</v>
      </c>
      <c r="H9" s="10" t="s">
        <v>401</v>
      </c>
      <c r="I9" s="10" t="s">
        <v>61</v>
      </c>
      <c r="J9" s="10" t="s">
        <v>61</v>
      </c>
      <c r="K9" s="10" t="s">
        <v>61</v>
      </c>
      <c r="L9" s="10" t="s">
        <v>61</v>
      </c>
      <c r="M9" s="10" t="s">
        <v>377</v>
      </c>
    </row>
    <row r="10" spans="2:13" ht="13.5">
      <c r="B10" s="56">
        <v>1</v>
      </c>
      <c r="C10" s="20">
        <v>2</v>
      </c>
      <c r="D10" s="56">
        <v>3</v>
      </c>
      <c r="E10" s="20">
        <v>4</v>
      </c>
      <c r="F10" s="56">
        <v>5</v>
      </c>
      <c r="G10" s="20">
        <v>6</v>
      </c>
      <c r="H10" s="56">
        <v>7</v>
      </c>
      <c r="I10" s="20">
        <v>8</v>
      </c>
      <c r="J10" s="56">
        <v>9</v>
      </c>
      <c r="K10" s="20">
        <v>10</v>
      </c>
      <c r="L10" s="56">
        <v>11</v>
      </c>
      <c r="M10" s="20">
        <v>12</v>
      </c>
    </row>
    <row r="11" spans="2:13" ht="54">
      <c r="B11" s="56"/>
      <c r="C11" s="498" t="s">
        <v>402</v>
      </c>
      <c r="D11" s="9"/>
      <c r="E11" s="56" t="s">
        <v>1</v>
      </c>
      <c r="F11" s="65">
        <v>4000</v>
      </c>
      <c r="G11" s="56" t="s">
        <v>1</v>
      </c>
      <c r="H11" s="246"/>
      <c r="I11" s="56" t="s">
        <v>1</v>
      </c>
      <c r="J11" s="56" t="s">
        <v>1</v>
      </c>
      <c r="K11" s="56" t="s">
        <v>1</v>
      </c>
      <c r="L11" s="56" t="s">
        <v>1</v>
      </c>
      <c r="M11" s="56" t="s">
        <v>1</v>
      </c>
    </row>
    <row r="12" spans="2:13" ht="27">
      <c r="B12" s="56">
        <v>1</v>
      </c>
      <c r="C12" s="57" t="s">
        <v>64</v>
      </c>
      <c r="D12" s="244">
        <v>43</v>
      </c>
      <c r="E12" s="56" t="s">
        <v>1</v>
      </c>
      <c r="F12" s="56" t="s">
        <v>1</v>
      </c>
      <c r="G12" s="56" t="s">
        <v>1</v>
      </c>
      <c r="H12" s="56" t="s">
        <v>1</v>
      </c>
      <c r="I12" s="56" t="s">
        <v>1</v>
      </c>
      <c r="J12" s="56" t="s">
        <v>1</v>
      </c>
      <c r="K12" s="56" t="s">
        <v>1</v>
      </c>
      <c r="L12" s="56" t="s">
        <v>1</v>
      </c>
      <c r="M12" s="56" t="s">
        <v>1</v>
      </c>
    </row>
    <row r="13" spans="2:16" ht="27">
      <c r="B13" s="56">
        <v>2</v>
      </c>
      <c r="C13" s="57" t="s">
        <v>367</v>
      </c>
      <c r="D13" s="9">
        <v>1</v>
      </c>
      <c r="E13" s="9">
        <v>1</v>
      </c>
      <c r="F13" s="482">
        <f>E13*$F$11</f>
        <v>4000</v>
      </c>
      <c r="G13" s="9"/>
      <c r="H13" s="245">
        <f aca="true" t="shared" si="0" ref="H13:H22">G13*$H$11</f>
        <v>0</v>
      </c>
      <c r="I13" s="478">
        <f>(F13+H13)*12</f>
        <v>48000</v>
      </c>
      <c r="J13" s="479">
        <v>20000</v>
      </c>
      <c r="K13" s="479">
        <v>10000</v>
      </c>
      <c r="L13" s="478">
        <f>+(K13+J13)*D13*12</f>
        <v>360000</v>
      </c>
      <c r="M13" s="479">
        <f>+(L13+I13)*1.2</f>
        <v>489600</v>
      </c>
      <c r="P13" s="517"/>
    </row>
    <row r="14" spans="2:13" ht="54">
      <c r="B14" s="56">
        <v>3</v>
      </c>
      <c r="C14" s="57" t="s">
        <v>368</v>
      </c>
      <c r="D14" s="9">
        <v>2</v>
      </c>
      <c r="E14" s="9">
        <v>2</v>
      </c>
      <c r="F14" s="482">
        <f aca="true" t="shared" si="1" ref="F14:F27">E14*$F$11</f>
        <v>8000</v>
      </c>
      <c r="G14" s="9"/>
      <c r="H14" s="245">
        <f t="shared" si="0"/>
        <v>0</v>
      </c>
      <c r="I14" s="478">
        <f>(F14+H14)*12</f>
        <v>96000</v>
      </c>
      <c r="J14" s="479">
        <v>5000</v>
      </c>
      <c r="K14" s="479">
        <v>5000</v>
      </c>
      <c r="L14" s="478">
        <f>+(K14+J14)*D14*12</f>
        <v>240000</v>
      </c>
      <c r="M14" s="479">
        <f aca="true" t="shared" si="2" ref="M14:M26">+(L14+I14)*1.2</f>
        <v>403200</v>
      </c>
    </row>
    <row r="15" spans="2:13" ht="13.5">
      <c r="B15" s="56">
        <v>4</v>
      </c>
      <c r="C15" s="57" t="s">
        <v>65</v>
      </c>
      <c r="D15" s="9">
        <v>1</v>
      </c>
      <c r="E15" s="9">
        <v>1</v>
      </c>
      <c r="F15" s="482">
        <f t="shared" si="1"/>
        <v>4000</v>
      </c>
      <c r="G15" s="9"/>
      <c r="H15" s="245">
        <f t="shared" si="0"/>
        <v>0</v>
      </c>
      <c r="I15" s="478">
        <f aca="true" t="shared" si="3" ref="I15:I23">(F15+H15)*12</f>
        <v>48000</v>
      </c>
      <c r="J15" s="479">
        <v>2000</v>
      </c>
      <c r="K15" s="479"/>
      <c r="L15" s="478">
        <f aca="true" t="shared" si="4" ref="L15:L24">+(K15+J15)*D15*12</f>
        <v>24000</v>
      </c>
      <c r="M15" s="479">
        <f t="shared" si="2"/>
        <v>86400</v>
      </c>
    </row>
    <row r="16" spans="2:13" ht="13.5">
      <c r="B16" s="56">
        <v>5</v>
      </c>
      <c r="C16" s="57" t="s">
        <v>66</v>
      </c>
      <c r="D16" s="9"/>
      <c r="E16" s="9"/>
      <c r="F16" s="482">
        <f t="shared" si="1"/>
        <v>0</v>
      </c>
      <c r="G16" s="9"/>
      <c r="H16" s="245">
        <f t="shared" si="0"/>
        <v>0</v>
      </c>
      <c r="I16" s="478">
        <f t="shared" si="3"/>
        <v>0</v>
      </c>
      <c r="J16" s="479">
        <v>2000</v>
      </c>
      <c r="K16" s="479"/>
      <c r="L16" s="478">
        <f t="shared" si="4"/>
        <v>0</v>
      </c>
      <c r="M16" s="479">
        <f t="shared" si="2"/>
        <v>0</v>
      </c>
    </row>
    <row r="17" spans="2:13" ht="13.5">
      <c r="B17" s="56">
        <v>6</v>
      </c>
      <c r="C17" s="57" t="s">
        <v>67</v>
      </c>
      <c r="D17" s="9"/>
      <c r="E17" s="9"/>
      <c r="F17" s="482">
        <f t="shared" si="1"/>
        <v>0</v>
      </c>
      <c r="G17" s="9"/>
      <c r="H17" s="245">
        <f t="shared" si="0"/>
        <v>0</v>
      </c>
      <c r="I17" s="478">
        <f t="shared" si="3"/>
        <v>0</v>
      </c>
      <c r="J17" s="479">
        <v>2000</v>
      </c>
      <c r="K17" s="479"/>
      <c r="L17" s="478">
        <f t="shared" si="4"/>
        <v>0</v>
      </c>
      <c r="M17" s="479">
        <f t="shared" si="2"/>
        <v>0</v>
      </c>
    </row>
    <row r="18" spans="2:13" ht="13.5">
      <c r="B18" s="56">
        <v>7</v>
      </c>
      <c r="C18" s="57" t="s">
        <v>219</v>
      </c>
      <c r="D18" s="9">
        <v>1</v>
      </c>
      <c r="E18" s="9">
        <v>1</v>
      </c>
      <c r="F18" s="482">
        <f t="shared" si="1"/>
        <v>4000</v>
      </c>
      <c r="G18" s="9"/>
      <c r="H18" s="245">
        <f t="shared" si="0"/>
        <v>0</v>
      </c>
      <c r="I18" s="478">
        <f>(F18+H18)*12</f>
        <v>48000</v>
      </c>
      <c r="J18" s="479">
        <v>5000</v>
      </c>
      <c r="K18" s="479">
        <v>5000</v>
      </c>
      <c r="L18" s="478">
        <f t="shared" si="4"/>
        <v>120000</v>
      </c>
      <c r="M18" s="479">
        <f t="shared" si="2"/>
        <v>201600</v>
      </c>
    </row>
    <row r="19" spans="2:13" ht="13.5">
      <c r="B19" s="56">
        <v>8</v>
      </c>
      <c r="C19" s="57" t="s">
        <v>220</v>
      </c>
      <c r="D19" s="9"/>
      <c r="E19" s="9"/>
      <c r="F19" s="482">
        <f t="shared" si="1"/>
        <v>0</v>
      </c>
      <c r="G19" s="9"/>
      <c r="H19" s="245">
        <f t="shared" si="0"/>
        <v>0</v>
      </c>
      <c r="I19" s="478">
        <f t="shared" si="3"/>
        <v>0</v>
      </c>
      <c r="J19" s="479">
        <v>2000</v>
      </c>
      <c r="K19" s="479"/>
      <c r="L19" s="478">
        <f t="shared" si="4"/>
        <v>0</v>
      </c>
      <c r="M19" s="479">
        <f t="shared" si="2"/>
        <v>0</v>
      </c>
    </row>
    <row r="20" spans="2:13" ht="67.5">
      <c r="B20" s="56">
        <v>9</v>
      </c>
      <c r="C20" s="57" t="s">
        <v>369</v>
      </c>
      <c r="D20" s="9">
        <v>11</v>
      </c>
      <c r="E20" s="9">
        <v>2</v>
      </c>
      <c r="F20" s="482">
        <f t="shared" si="1"/>
        <v>8000</v>
      </c>
      <c r="G20" s="9"/>
      <c r="H20" s="245">
        <f t="shared" si="0"/>
        <v>0</v>
      </c>
      <c r="I20" s="478">
        <f>(F20+H20)*12</f>
        <v>96000</v>
      </c>
      <c r="J20" s="479">
        <v>5000</v>
      </c>
      <c r="K20" s="479"/>
      <c r="L20" s="478">
        <f>+(K20+J20)*D20*12</f>
        <v>660000</v>
      </c>
      <c r="M20" s="479">
        <f t="shared" si="2"/>
        <v>907200</v>
      </c>
    </row>
    <row r="21" spans="2:13" ht="67.5">
      <c r="B21" s="56">
        <v>10</v>
      </c>
      <c r="C21" s="57" t="s">
        <v>370</v>
      </c>
      <c r="D21" s="9">
        <v>23</v>
      </c>
      <c r="E21" s="9">
        <v>3</v>
      </c>
      <c r="F21" s="482">
        <f>E21*$F$11</f>
        <v>12000</v>
      </c>
      <c r="G21" s="9"/>
      <c r="H21" s="245">
        <f t="shared" si="0"/>
        <v>0</v>
      </c>
      <c r="I21" s="478">
        <f>(F21+H21)*12</f>
        <v>144000</v>
      </c>
      <c r="J21" s="479">
        <v>3000</v>
      </c>
      <c r="K21" s="479"/>
      <c r="L21" s="478">
        <f>+(K21+J21)*D21*12</f>
        <v>828000</v>
      </c>
      <c r="M21" s="479">
        <f t="shared" si="2"/>
        <v>1166400</v>
      </c>
    </row>
    <row r="22" spans="2:13" ht="40.5">
      <c r="B22" s="56">
        <v>11</v>
      </c>
      <c r="C22" s="57" t="s">
        <v>371</v>
      </c>
      <c r="D22" s="551">
        <v>2</v>
      </c>
      <c r="E22" s="551">
        <v>1</v>
      </c>
      <c r="F22" s="482">
        <f>E22*$F$11</f>
        <v>4000</v>
      </c>
      <c r="G22" s="9"/>
      <c r="H22" s="245">
        <f t="shared" si="0"/>
        <v>0</v>
      </c>
      <c r="I22" s="478">
        <f t="shared" si="3"/>
        <v>48000</v>
      </c>
      <c r="J22" s="479">
        <v>5000</v>
      </c>
      <c r="K22" s="479">
        <v>5000</v>
      </c>
      <c r="L22" s="478">
        <f t="shared" si="4"/>
        <v>240000</v>
      </c>
      <c r="M22" s="479">
        <f>+(L22+I22)*1.2</f>
        <v>345600</v>
      </c>
    </row>
    <row r="23" spans="2:13" ht="27">
      <c r="B23" s="56">
        <v>13</v>
      </c>
      <c r="C23" s="57" t="s">
        <v>372</v>
      </c>
      <c r="D23" s="9"/>
      <c r="E23" s="9"/>
      <c r="F23" s="482">
        <f t="shared" si="1"/>
        <v>0</v>
      </c>
      <c r="G23" s="9"/>
      <c r="H23" s="245">
        <f>G23*$H$11</f>
        <v>0</v>
      </c>
      <c r="I23" s="478">
        <f t="shared" si="3"/>
        <v>0</v>
      </c>
      <c r="J23" s="479">
        <v>3000</v>
      </c>
      <c r="K23" s="479">
        <v>2000</v>
      </c>
      <c r="L23" s="478">
        <f>+(K23+J23)*D23*12</f>
        <v>0</v>
      </c>
      <c r="M23" s="479">
        <f t="shared" si="2"/>
        <v>0</v>
      </c>
    </row>
    <row r="24" spans="2:13" ht="18.75" customHeight="1">
      <c r="B24" s="56">
        <v>14</v>
      </c>
      <c r="C24" s="57" t="s">
        <v>373</v>
      </c>
      <c r="D24" s="9"/>
      <c r="E24" s="9"/>
      <c r="F24" s="482">
        <f t="shared" si="1"/>
        <v>0</v>
      </c>
      <c r="G24" s="9"/>
      <c r="H24" s="245">
        <f>G24*$H$11</f>
        <v>0</v>
      </c>
      <c r="I24" s="478">
        <f>(F24+H24)*12</f>
        <v>0</v>
      </c>
      <c r="J24" s="479">
        <v>3000</v>
      </c>
      <c r="K24" s="479"/>
      <c r="L24" s="478">
        <f t="shared" si="4"/>
        <v>0</v>
      </c>
      <c r="M24" s="479">
        <f t="shared" si="2"/>
        <v>0</v>
      </c>
    </row>
    <row r="25" spans="2:13" ht="13.5">
      <c r="B25" s="56">
        <v>15</v>
      </c>
      <c r="C25" s="57" t="s">
        <v>366</v>
      </c>
      <c r="D25" s="9"/>
      <c r="E25" s="9"/>
      <c r="F25" s="482">
        <f t="shared" si="1"/>
        <v>0</v>
      </c>
      <c r="G25" s="9"/>
      <c r="H25" s="245">
        <f>G25*$H$11</f>
        <v>0</v>
      </c>
      <c r="I25" s="478">
        <f>(F25+H25)*12</f>
        <v>0</v>
      </c>
      <c r="J25" s="479">
        <v>3000</v>
      </c>
      <c r="K25" s="479"/>
      <c r="L25" s="478">
        <f>+(K25+J25)*D25*12</f>
        <v>0</v>
      </c>
      <c r="M25" s="479">
        <f t="shared" si="2"/>
        <v>0</v>
      </c>
    </row>
    <row r="26" spans="2:13" ht="13.5">
      <c r="B26" s="56">
        <v>16</v>
      </c>
      <c r="C26" s="57" t="s">
        <v>374</v>
      </c>
      <c r="D26" s="9"/>
      <c r="E26" s="9"/>
      <c r="F26" s="482">
        <f t="shared" si="1"/>
        <v>0</v>
      </c>
      <c r="G26" s="9"/>
      <c r="H26" s="245">
        <f>G26*$H$11</f>
        <v>0</v>
      </c>
      <c r="I26" s="478">
        <f>(F26+H26)*12</f>
        <v>0</v>
      </c>
      <c r="J26" s="479">
        <v>3000</v>
      </c>
      <c r="K26" s="479"/>
      <c r="L26" s="478">
        <f>+(K26+J26)*D26*12</f>
        <v>0</v>
      </c>
      <c r="M26" s="479">
        <f t="shared" si="2"/>
        <v>0</v>
      </c>
    </row>
    <row r="27" spans="2:13" ht="13.5">
      <c r="B27" s="56">
        <v>17</v>
      </c>
      <c r="C27" s="57" t="s">
        <v>375</v>
      </c>
      <c r="D27" s="9" t="s">
        <v>1</v>
      </c>
      <c r="E27" s="9"/>
      <c r="F27" s="482">
        <f t="shared" si="1"/>
        <v>0</v>
      </c>
      <c r="G27" s="9"/>
      <c r="H27" s="245">
        <f>G27*$H$11</f>
        <v>0</v>
      </c>
      <c r="I27" s="478" t="s">
        <v>1</v>
      </c>
      <c r="J27" s="483" t="s">
        <v>1</v>
      </c>
      <c r="K27" s="483" t="s">
        <v>1</v>
      </c>
      <c r="L27" s="478" t="s">
        <v>1</v>
      </c>
      <c r="M27" s="479" t="str">
        <f>+L27</f>
        <v>x</v>
      </c>
    </row>
    <row r="28" spans="2:13" ht="27">
      <c r="B28" s="56"/>
      <c r="C28" s="57" t="s">
        <v>68</v>
      </c>
      <c r="D28" s="9">
        <v>2</v>
      </c>
      <c r="E28" s="9" t="s">
        <v>1</v>
      </c>
      <c r="F28" s="482"/>
      <c r="G28" s="61"/>
      <c r="H28" s="245" t="s">
        <v>1</v>
      </c>
      <c r="I28" s="478" t="s">
        <v>1</v>
      </c>
      <c r="J28" s="483" t="s">
        <v>1</v>
      </c>
      <c r="K28" s="483" t="s">
        <v>1</v>
      </c>
      <c r="L28" s="478" t="s">
        <v>1</v>
      </c>
      <c r="M28" s="479" t="str">
        <f>+L28</f>
        <v>x</v>
      </c>
    </row>
    <row r="29" spans="2:14" ht="54">
      <c r="B29" s="56">
        <v>18</v>
      </c>
      <c r="C29" s="57" t="s">
        <v>69</v>
      </c>
      <c r="D29" s="582">
        <f>(D12-SUM(D13:D28))/4</f>
        <v>0</v>
      </c>
      <c r="E29" s="394">
        <f>SUM(E13:E28)</f>
        <v>11</v>
      </c>
      <c r="F29" s="482">
        <f>E29*$F$11</f>
        <v>44000</v>
      </c>
      <c r="G29" s="394"/>
      <c r="H29" s="245">
        <f>G29*$H$11</f>
        <v>0</v>
      </c>
      <c r="I29" s="478">
        <f>(F29+H29)*12</f>
        <v>528000</v>
      </c>
      <c r="J29" s="479" t="s">
        <v>1</v>
      </c>
      <c r="K29" s="479" t="s">
        <v>1</v>
      </c>
      <c r="L29" s="478" t="s">
        <v>1</v>
      </c>
      <c r="M29" s="479">
        <f>+I29*1.2</f>
        <v>633600</v>
      </c>
      <c r="N29" s="476"/>
    </row>
    <row r="30" spans="2:13" ht="33">
      <c r="B30" s="64"/>
      <c r="C30" s="297" t="s">
        <v>359</v>
      </c>
      <c r="D30" s="65"/>
      <c r="E30" s="66"/>
      <c r="F30" s="66"/>
      <c r="G30" s="66"/>
      <c r="H30" s="66"/>
      <c r="I30" s="480">
        <f>SUM(I13:I29)*1.2</f>
        <v>1267200</v>
      </c>
      <c r="J30" s="480"/>
      <c r="K30" s="480"/>
      <c r="L30" s="480">
        <f>SUM(L13:L29)*1.2</f>
        <v>2966400</v>
      </c>
      <c r="M30" s="480">
        <f>SUM(M13:M29)</f>
        <v>4233600</v>
      </c>
    </row>
    <row r="31" spans="2:13" ht="13.5">
      <c r="B31" s="56"/>
      <c r="C31" s="67"/>
      <c r="D31" s="9"/>
      <c r="E31" s="9"/>
      <c r="F31" s="9"/>
      <c r="G31" s="9"/>
      <c r="H31" s="9"/>
      <c r="I31" s="62"/>
      <c r="J31" s="9"/>
      <c r="K31" s="9"/>
      <c r="L31" s="62"/>
      <c r="M31" s="479"/>
    </row>
    <row r="32" spans="2:13" ht="27">
      <c r="B32" s="56">
        <v>19</v>
      </c>
      <c r="C32" s="67" t="s">
        <v>364</v>
      </c>
      <c r="D32" s="9" t="s">
        <v>1</v>
      </c>
      <c r="E32" s="9" t="s">
        <v>1</v>
      </c>
      <c r="F32" s="9" t="s">
        <v>1</v>
      </c>
      <c r="G32" s="9" t="s">
        <v>1</v>
      </c>
      <c r="H32" s="9" t="s">
        <v>1</v>
      </c>
      <c r="I32" s="62" t="s">
        <v>1</v>
      </c>
      <c r="J32" s="9" t="s">
        <v>1</v>
      </c>
      <c r="K32" s="9" t="s">
        <v>1</v>
      </c>
      <c r="L32" s="62" t="s">
        <v>1</v>
      </c>
      <c r="M32" s="479">
        <f>SUM(M33:M37)</f>
        <v>1227560</v>
      </c>
    </row>
    <row r="33" spans="2:13" ht="13.5">
      <c r="B33" s="56">
        <v>1</v>
      </c>
      <c r="C33" s="67" t="s">
        <v>365</v>
      </c>
      <c r="D33" s="9" t="s">
        <v>1</v>
      </c>
      <c r="E33" s="9" t="s">
        <v>1</v>
      </c>
      <c r="F33" s="9" t="s">
        <v>1</v>
      </c>
      <c r="G33" s="9" t="s">
        <v>1</v>
      </c>
      <c r="H33" s="9" t="s">
        <v>1</v>
      </c>
      <c r="I33" s="62" t="s">
        <v>1</v>
      </c>
      <c r="J33" s="9" t="s">
        <v>1</v>
      </c>
      <c r="K33" s="9" t="s">
        <v>1</v>
      </c>
      <c r="L33" s="62" t="s">
        <v>1</v>
      </c>
      <c r="M33" s="581">
        <f>+'4-փոստային կապ'!K11</f>
        <v>50360</v>
      </c>
    </row>
    <row r="34" spans="2:13" ht="27">
      <c r="B34" s="56">
        <v>2</v>
      </c>
      <c r="C34" s="503" t="s">
        <v>421</v>
      </c>
      <c r="D34" s="9" t="s">
        <v>1</v>
      </c>
      <c r="E34" s="9" t="s">
        <v>1</v>
      </c>
      <c r="F34" s="9" t="s">
        <v>1</v>
      </c>
      <c r="G34" s="9" t="s">
        <v>1</v>
      </c>
      <c r="H34" s="9" t="s">
        <v>1</v>
      </c>
      <c r="I34" s="62" t="s">
        <v>1</v>
      </c>
      <c r="J34" s="9" t="s">
        <v>1</v>
      </c>
      <c r="K34" s="9" t="s">
        <v>1</v>
      </c>
      <c r="L34" s="62" t="s">
        <v>1</v>
      </c>
      <c r="M34" s="581">
        <v>606000</v>
      </c>
    </row>
    <row r="35" spans="2:13" ht="27">
      <c r="B35" s="56">
        <v>3</v>
      </c>
      <c r="C35" s="504" t="s">
        <v>422</v>
      </c>
      <c r="D35" s="9" t="s">
        <v>1</v>
      </c>
      <c r="E35" s="9" t="s">
        <v>1</v>
      </c>
      <c r="F35" s="9" t="s">
        <v>1</v>
      </c>
      <c r="G35" s="9" t="s">
        <v>1</v>
      </c>
      <c r="H35" s="9" t="s">
        <v>1</v>
      </c>
      <c r="I35" s="62" t="s">
        <v>1</v>
      </c>
      <c r="J35" s="9" t="s">
        <v>1</v>
      </c>
      <c r="K35" s="9" t="s">
        <v>1</v>
      </c>
      <c r="L35" s="62" t="s">
        <v>1</v>
      </c>
      <c r="M35" s="581">
        <v>475200</v>
      </c>
    </row>
    <row r="36" spans="2:13" ht="13.5">
      <c r="B36" s="56">
        <v>4</v>
      </c>
      <c r="C36" s="503" t="s">
        <v>423</v>
      </c>
      <c r="D36" s="9"/>
      <c r="E36" s="9"/>
      <c r="F36" s="9"/>
      <c r="G36" s="9"/>
      <c r="H36" s="9"/>
      <c r="I36" s="62"/>
      <c r="J36" s="9"/>
      <c r="K36" s="9"/>
      <c r="L36" s="62"/>
      <c r="M36" s="581">
        <v>12000</v>
      </c>
    </row>
    <row r="37" spans="2:13" ht="27">
      <c r="B37" s="56">
        <v>5</v>
      </c>
      <c r="C37" s="503" t="s">
        <v>471</v>
      </c>
      <c r="D37" s="9"/>
      <c r="E37" s="9"/>
      <c r="F37" s="9"/>
      <c r="G37" s="9"/>
      <c r="H37" s="9"/>
      <c r="I37" s="62"/>
      <c r="J37" s="9"/>
      <c r="K37" s="9"/>
      <c r="L37" s="62"/>
      <c r="M37" s="581">
        <v>84000</v>
      </c>
    </row>
    <row r="38" spans="2:13" ht="18" thickBot="1">
      <c r="B38" s="260"/>
      <c r="C38" s="261" t="s">
        <v>70</v>
      </c>
      <c r="D38" s="262" t="s">
        <v>1</v>
      </c>
      <c r="E38" s="262" t="s">
        <v>1</v>
      </c>
      <c r="F38" s="262" t="s">
        <v>1</v>
      </c>
      <c r="G38" s="262" t="s">
        <v>1</v>
      </c>
      <c r="H38" s="262" t="s">
        <v>1</v>
      </c>
      <c r="I38" s="263" t="s">
        <v>1</v>
      </c>
      <c r="J38" s="262" t="s">
        <v>1</v>
      </c>
      <c r="K38" s="262" t="s">
        <v>1</v>
      </c>
      <c r="L38" s="263" t="s">
        <v>1</v>
      </c>
      <c r="M38" s="481">
        <f>M30+M32</f>
        <v>5461160</v>
      </c>
    </row>
    <row r="39" spans="2:14" s="264" customFormat="1" ht="31.5" customHeight="1" thickBot="1">
      <c r="B39" s="3"/>
      <c r="C39" s="69"/>
      <c r="D39" s="70"/>
      <c r="E39" s="70"/>
      <c r="F39" s="475"/>
      <c r="G39" s="70"/>
      <c r="H39" s="70"/>
      <c r="I39" s="72"/>
      <c r="J39" s="71"/>
      <c r="K39" s="71"/>
      <c r="L39" s="72"/>
      <c r="M39" s="73">
        <f>M38/1000</f>
        <v>5461.16</v>
      </c>
      <c r="N39" s="4"/>
    </row>
    <row r="41" spans="2:5" ht="16.5">
      <c r="B41" s="494"/>
      <c r="C41" s="496"/>
      <c r="E41" s="519"/>
    </row>
  </sheetData>
  <sheetProtection/>
  <mergeCells count="2">
    <mergeCell ref="I7:I8"/>
    <mergeCell ref="D3:J3"/>
  </mergeCells>
  <printOptions/>
  <pageMargins left="0.25" right="0.25" top="0.25" bottom="0.25" header="0.22" footer="0.16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6">
      <selection activeCell="I19" sqref="I19"/>
    </sheetView>
  </sheetViews>
  <sheetFormatPr defaultColWidth="9.140625" defaultRowHeight="12.75"/>
  <cols>
    <col min="1" max="1" width="4.28125" style="3" customWidth="1"/>
    <col min="2" max="2" width="30.7109375" style="74" customWidth="1"/>
    <col min="3" max="3" width="8.28125" style="74" customWidth="1"/>
    <col min="4" max="5" width="10.00390625" style="74" customWidth="1"/>
    <col min="6" max="6" width="9.140625" style="68" customWidth="1"/>
    <col min="7" max="7" width="8.00390625" style="74" customWidth="1"/>
    <col min="8" max="8" width="11.8515625" style="68" customWidth="1"/>
    <col min="9" max="9" width="12.140625" style="3" customWidth="1"/>
    <col min="10" max="16384" width="9.140625" style="4" customWidth="1"/>
  </cols>
  <sheetData>
    <row r="1" spans="1:14" s="27" customFormat="1" ht="13.5">
      <c r="A1" s="236"/>
      <c r="B1" s="2"/>
      <c r="C1" s="2"/>
      <c r="D1" s="87"/>
      <c r="E1" s="87"/>
      <c r="F1" s="2"/>
      <c r="G1" s="2"/>
      <c r="H1" s="26"/>
      <c r="I1" s="98" t="s">
        <v>74</v>
      </c>
      <c r="J1" s="2"/>
      <c r="K1" s="26"/>
      <c r="L1" s="26"/>
      <c r="M1" s="26"/>
      <c r="N1" s="26"/>
    </row>
    <row r="2" spans="1:14" s="27" customFormat="1" ht="12.75" customHeight="1">
      <c r="A2" s="26"/>
      <c r="B2" s="2"/>
      <c r="C2" s="2"/>
      <c r="D2" s="87"/>
      <c r="E2" s="87"/>
      <c r="F2" s="2"/>
      <c r="G2" s="2"/>
      <c r="H2" s="682" t="s">
        <v>10</v>
      </c>
      <c r="I2" s="682"/>
      <c r="J2" s="682"/>
      <c r="K2" s="26"/>
      <c r="L2" s="26"/>
      <c r="M2" s="26"/>
      <c r="N2" s="26"/>
    </row>
    <row r="3" spans="2:9" s="27" customFormat="1" ht="15" customHeight="1" thickBot="1">
      <c r="B3" s="18" t="s">
        <v>11</v>
      </c>
      <c r="C3" s="699" t="s">
        <v>454</v>
      </c>
      <c r="D3" s="699"/>
      <c r="E3" s="699"/>
      <c r="F3" s="699"/>
      <c r="G3" s="699"/>
      <c r="H3" s="699"/>
      <c r="I3" s="699"/>
    </row>
    <row r="4" spans="1:9" s="27" customFormat="1" ht="14.25">
      <c r="A4" s="26"/>
      <c r="B4" s="87"/>
      <c r="C4" s="87"/>
      <c r="D4" s="87"/>
      <c r="E4" s="2"/>
      <c r="F4" s="88"/>
      <c r="G4" s="89"/>
      <c r="H4" s="78"/>
      <c r="I4" s="28"/>
    </row>
    <row r="5" spans="1:9" s="27" customFormat="1" ht="13.5">
      <c r="A5" s="26"/>
      <c r="B5" s="37" t="s">
        <v>59</v>
      </c>
      <c r="C5" s="88"/>
      <c r="D5" s="88"/>
      <c r="E5" s="88"/>
      <c r="F5" s="88"/>
      <c r="G5" s="88"/>
      <c r="H5" s="88"/>
      <c r="I5" s="26"/>
    </row>
    <row r="6" spans="1:9" s="27" customFormat="1" ht="27">
      <c r="A6" s="26"/>
      <c r="B6" s="88" t="s">
        <v>387</v>
      </c>
      <c r="C6" s="88"/>
      <c r="D6" s="88"/>
      <c r="E6" s="88"/>
      <c r="F6" s="88"/>
      <c r="G6" s="88"/>
      <c r="H6" s="88"/>
      <c r="I6" s="26"/>
    </row>
    <row r="7" spans="1:9" s="27" customFormat="1" ht="13.5">
      <c r="A7" s="26"/>
      <c r="B7" s="87"/>
      <c r="C7" s="87"/>
      <c r="D7" s="87"/>
      <c r="E7" s="87"/>
      <c r="F7" s="78"/>
      <c r="G7" s="87"/>
      <c r="H7" s="78"/>
      <c r="I7" s="26"/>
    </row>
    <row r="8" spans="1:14" s="11" customFormat="1" ht="63.75">
      <c r="A8" s="90"/>
      <c r="B8" s="91"/>
      <c r="C8" s="50" t="s">
        <v>76</v>
      </c>
      <c r="D8" s="50" t="s">
        <v>77</v>
      </c>
      <c r="E8" s="50" t="s">
        <v>78</v>
      </c>
      <c r="F8" s="50" t="s">
        <v>79</v>
      </c>
      <c r="G8" s="49" t="s">
        <v>80</v>
      </c>
      <c r="H8" s="49" t="s">
        <v>81</v>
      </c>
      <c r="I8" s="92" t="s">
        <v>82</v>
      </c>
      <c r="N8" s="27"/>
    </row>
    <row r="9" spans="1:14" s="11" customFormat="1" ht="13.5">
      <c r="A9" s="59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59">
        <v>9</v>
      </c>
      <c r="N9" s="27"/>
    </row>
    <row r="10" spans="1:14" ht="67.5">
      <c r="A10" s="59">
        <v>1</v>
      </c>
      <c r="B10" s="57" t="s">
        <v>238</v>
      </c>
      <c r="C10" s="20" t="s">
        <v>1</v>
      </c>
      <c r="D10" s="20" t="s">
        <v>1</v>
      </c>
      <c r="E10" s="20" t="s">
        <v>1</v>
      </c>
      <c r="F10" s="9">
        <v>738</v>
      </c>
      <c r="G10" s="20">
        <v>29.32</v>
      </c>
      <c r="H10" s="58">
        <f>F10*G10</f>
        <v>21638.16</v>
      </c>
      <c r="I10" s="292">
        <f>H10*0.05348</f>
        <v>1157.2087968</v>
      </c>
      <c r="J10" s="11"/>
      <c r="N10" s="27"/>
    </row>
    <row r="11" spans="1:14" ht="67.5">
      <c r="A11" s="59">
        <v>2</v>
      </c>
      <c r="B11" s="57" t="s">
        <v>84</v>
      </c>
      <c r="C11" s="20" t="s">
        <v>1</v>
      </c>
      <c r="D11" s="20" t="s">
        <v>1</v>
      </c>
      <c r="E11" s="20" t="s">
        <v>1</v>
      </c>
      <c r="F11" s="9"/>
      <c r="G11" s="20">
        <v>21.4</v>
      </c>
      <c r="H11" s="58">
        <f>F11*G11</f>
        <v>0</v>
      </c>
      <c r="I11" s="292">
        <f aca="true" t="shared" si="0" ref="I11:I18">H11*0.05348</f>
        <v>0</v>
      </c>
      <c r="N11" s="27"/>
    </row>
    <row r="12" spans="1:9" ht="67.5">
      <c r="A12" s="59">
        <v>3</v>
      </c>
      <c r="B12" s="57" t="s">
        <v>85</v>
      </c>
      <c r="C12" s="57">
        <v>53</v>
      </c>
      <c r="D12" s="20" t="s">
        <v>1</v>
      </c>
      <c r="E12" s="20" t="s">
        <v>1</v>
      </c>
      <c r="F12" s="20" t="s">
        <v>1</v>
      </c>
      <c r="G12" s="20">
        <v>1100</v>
      </c>
      <c r="H12" s="93">
        <f>C12*G12</f>
        <v>58300</v>
      </c>
      <c r="I12" s="292">
        <f t="shared" si="0"/>
        <v>3117.884</v>
      </c>
    </row>
    <row r="13" spans="1:9" ht="40.5">
      <c r="A13" s="59">
        <v>4</v>
      </c>
      <c r="B13" s="57" t="s">
        <v>83</v>
      </c>
      <c r="C13" s="20"/>
      <c r="D13" s="93">
        <f>SUM(D15:D18)</f>
        <v>0</v>
      </c>
      <c r="E13" s="93">
        <f>SUM(E15:E18)</f>
        <v>0</v>
      </c>
      <c r="F13" s="20" t="s">
        <v>1</v>
      </c>
      <c r="G13" s="20" t="s">
        <v>1</v>
      </c>
      <c r="H13" s="93">
        <f>SUM(H15:H18)</f>
        <v>0</v>
      </c>
      <c r="I13" s="93">
        <f>SUM(I15:I18)</f>
        <v>0</v>
      </c>
    </row>
    <row r="14" spans="1:9" ht="21" customHeight="1">
      <c r="A14" s="59"/>
      <c r="B14" s="57" t="s">
        <v>86</v>
      </c>
      <c r="C14" s="20"/>
      <c r="D14" s="20"/>
      <c r="E14" s="20"/>
      <c r="F14" s="20"/>
      <c r="G14" s="20"/>
      <c r="H14" s="93"/>
      <c r="I14" s="292">
        <f t="shared" si="0"/>
        <v>0</v>
      </c>
    </row>
    <row r="15" spans="1:9" ht="21" customHeight="1">
      <c r="A15" s="59">
        <v>4.1</v>
      </c>
      <c r="B15" s="57"/>
      <c r="C15" s="20" t="s">
        <v>1</v>
      </c>
      <c r="D15" s="20"/>
      <c r="E15" s="20"/>
      <c r="F15" s="20" t="s">
        <v>1</v>
      </c>
      <c r="G15" s="20" t="s">
        <v>1</v>
      </c>
      <c r="H15" s="93">
        <f>D15*E15</f>
        <v>0</v>
      </c>
      <c r="I15" s="292">
        <f t="shared" si="0"/>
        <v>0</v>
      </c>
    </row>
    <row r="16" spans="1:9" ht="21" customHeight="1">
      <c r="A16" s="59">
        <v>4.2</v>
      </c>
      <c r="B16" s="57"/>
      <c r="C16" s="20" t="s">
        <v>1</v>
      </c>
      <c r="D16" s="20"/>
      <c r="E16" s="20"/>
      <c r="F16" s="20" t="s">
        <v>1</v>
      </c>
      <c r="G16" s="20" t="s">
        <v>1</v>
      </c>
      <c r="H16" s="93">
        <f>D16*E16</f>
        <v>0</v>
      </c>
      <c r="I16" s="292">
        <f t="shared" si="0"/>
        <v>0</v>
      </c>
    </row>
    <row r="17" spans="1:9" ht="18" customHeight="1">
      <c r="A17" s="59">
        <v>4.3</v>
      </c>
      <c r="B17" s="57"/>
      <c r="C17" s="20" t="s">
        <v>1</v>
      </c>
      <c r="D17" s="20"/>
      <c r="E17" s="20"/>
      <c r="F17" s="20" t="s">
        <v>1</v>
      </c>
      <c r="G17" s="20" t="s">
        <v>1</v>
      </c>
      <c r="H17" s="93">
        <f>D17*E17</f>
        <v>0</v>
      </c>
      <c r="I17" s="292">
        <f t="shared" si="0"/>
        <v>0</v>
      </c>
    </row>
    <row r="18" spans="1:9" ht="18" customHeight="1">
      <c r="A18" s="59">
        <v>4.4</v>
      </c>
      <c r="B18" s="57"/>
      <c r="C18" s="20" t="s">
        <v>1</v>
      </c>
      <c r="D18" s="20"/>
      <c r="E18" s="20"/>
      <c r="F18" s="20" t="s">
        <v>1</v>
      </c>
      <c r="G18" s="20" t="s">
        <v>1</v>
      </c>
      <c r="H18" s="93">
        <f>D18*E18</f>
        <v>0</v>
      </c>
      <c r="I18" s="292">
        <f t="shared" si="0"/>
        <v>0</v>
      </c>
    </row>
    <row r="19" spans="1:9" ht="27" customHeight="1">
      <c r="A19" s="94"/>
      <c r="B19" s="95" t="s">
        <v>70</v>
      </c>
      <c r="C19" s="95"/>
      <c r="D19" s="96" t="s">
        <v>1</v>
      </c>
      <c r="E19" s="96" t="s">
        <v>1</v>
      </c>
      <c r="F19" s="96" t="s">
        <v>1</v>
      </c>
      <c r="G19" s="96" t="s">
        <v>1</v>
      </c>
      <c r="H19" s="97">
        <f>SUM(H10:H13)</f>
        <v>79938.16</v>
      </c>
      <c r="I19" s="97">
        <f>SUM(I10:I13)*0.65</f>
        <v>2778.8103179199998</v>
      </c>
    </row>
    <row r="22" spans="2:9" ht="47.25" customHeight="1">
      <c r="B22" s="698" t="s">
        <v>472</v>
      </c>
      <c r="C22" s="698"/>
      <c r="D22" s="698"/>
      <c r="E22" s="698"/>
      <c r="F22" s="698"/>
      <c r="G22" s="698"/>
      <c r="H22" s="698"/>
      <c r="I22" s="698"/>
    </row>
    <row r="26" ht="33" customHeight="1"/>
  </sheetData>
  <sheetProtection/>
  <mergeCells count="3">
    <mergeCell ref="H2:J2"/>
    <mergeCell ref="B22:I22"/>
    <mergeCell ref="C3:I3"/>
  </mergeCells>
  <printOptions/>
  <pageMargins left="0.21" right="0.17" top="1" bottom="1" header="0.5" footer="0.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4.28125" style="3" customWidth="1"/>
    <col min="2" max="2" width="17.8515625" style="74" customWidth="1"/>
    <col min="3" max="3" width="12.57421875" style="68" customWidth="1"/>
    <col min="4" max="4" width="17.7109375" style="74" customWidth="1"/>
    <col min="5" max="5" width="16.140625" style="74" customWidth="1"/>
    <col min="6" max="6" width="16.28125" style="68" customWidth="1"/>
    <col min="7" max="7" width="14.00390625" style="3" customWidth="1"/>
    <col min="8" max="8" width="15.140625" style="3" customWidth="1"/>
    <col min="9" max="16384" width="9.140625" style="4" customWidth="1"/>
  </cols>
  <sheetData>
    <row r="1" spans="1:14" s="27" customFormat="1" ht="12.75">
      <c r="A1" s="236"/>
      <c r="B1" s="2"/>
      <c r="C1" s="2"/>
      <c r="D1" s="87"/>
      <c r="E1" s="87"/>
      <c r="F1" s="682"/>
      <c r="G1" s="682"/>
      <c r="H1" s="26"/>
      <c r="I1" s="98" t="s">
        <v>75</v>
      </c>
      <c r="J1" s="2"/>
      <c r="K1" s="26"/>
      <c r="L1" s="26"/>
      <c r="M1" s="26"/>
      <c r="N1" s="26"/>
    </row>
    <row r="2" spans="1:14" s="27" customFormat="1" ht="12.75">
      <c r="A2" s="236"/>
      <c r="B2" s="2"/>
      <c r="C2" s="2"/>
      <c r="D2" s="87"/>
      <c r="E2" s="87"/>
      <c r="F2" s="682"/>
      <c r="G2" s="682"/>
      <c r="H2" s="682" t="s">
        <v>10</v>
      </c>
      <c r="I2" s="682"/>
      <c r="J2" s="682"/>
      <c r="K2" s="26"/>
      <c r="L2" s="26"/>
      <c r="M2" s="26"/>
      <c r="N2" s="26"/>
    </row>
    <row r="3" spans="2:7" s="27" customFormat="1" ht="27.75" customHeight="1" thickBot="1">
      <c r="B3" s="674" t="s">
        <v>11</v>
      </c>
      <c r="C3" s="674"/>
      <c r="D3" s="700" t="s">
        <v>454</v>
      </c>
      <c r="E3" s="700"/>
      <c r="F3" s="700"/>
      <c r="G3" s="700"/>
    </row>
    <row r="4" spans="1:8" s="27" customFormat="1" ht="12.75">
      <c r="A4" s="26"/>
      <c r="B4" s="87"/>
      <c r="C4" s="78"/>
      <c r="D4" s="2"/>
      <c r="E4" s="2"/>
      <c r="F4" s="88"/>
      <c r="G4" s="99"/>
      <c r="H4" s="28"/>
    </row>
    <row r="5" spans="1:8" s="27" customFormat="1" ht="12.75">
      <c r="A5" s="26"/>
      <c r="B5" s="37" t="s">
        <v>59</v>
      </c>
      <c r="C5" s="88"/>
      <c r="D5" s="88"/>
      <c r="E5" s="88"/>
      <c r="F5" s="88"/>
      <c r="G5" s="99"/>
      <c r="H5" s="26"/>
    </row>
    <row r="6" spans="1:8" s="27" customFormat="1" ht="25.5">
      <c r="A6" s="26"/>
      <c r="B6" s="88" t="s">
        <v>388</v>
      </c>
      <c r="C6" s="88"/>
      <c r="D6" s="88"/>
      <c r="E6" s="88"/>
      <c r="F6" s="88"/>
      <c r="G6" s="99"/>
      <c r="H6" s="26"/>
    </row>
    <row r="7" spans="1:7" ht="12.75">
      <c r="A7" s="26"/>
      <c r="B7" s="87"/>
      <c r="C7" s="78"/>
      <c r="D7" s="87"/>
      <c r="E7" s="87"/>
      <c r="F7" s="78"/>
      <c r="G7" s="26"/>
    </row>
    <row r="8" spans="1:8" s="11" customFormat="1" ht="63" customHeight="1">
      <c r="A8" s="90" t="s">
        <v>71</v>
      </c>
      <c r="B8" s="50" t="s">
        <v>87</v>
      </c>
      <c r="C8" s="50" t="s">
        <v>88</v>
      </c>
      <c r="D8" s="10" t="s">
        <v>89</v>
      </c>
      <c r="E8" s="10" t="s">
        <v>90</v>
      </c>
      <c r="F8" s="49" t="s">
        <v>196</v>
      </c>
      <c r="G8" s="49" t="s">
        <v>195</v>
      </c>
      <c r="H8" s="92" t="s">
        <v>93</v>
      </c>
    </row>
    <row r="9" spans="1:8" s="11" customFormat="1" ht="18" customHeight="1">
      <c r="A9" s="59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59">
        <v>7</v>
      </c>
      <c r="H9" s="59">
        <v>8</v>
      </c>
    </row>
    <row r="10" spans="1:8" s="11" customFormat="1" ht="24.75" customHeight="1">
      <c r="A10" s="94">
        <v>1</v>
      </c>
      <c r="B10" s="10"/>
      <c r="C10" s="50" t="s">
        <v>91</v>
      </c>
      <c r="D10" s="10">
        <v>13800</v>
      </c>
      <c r="E10" s="10">
        <v>2659.6</v>
      </c>
      <c r="F10" s="520">
        <v>21.4</v>
      </c>
      <c r="G10" s="60">
        <f>E10*F10</f>
        <v>56915.439999999995</v>
      </c>
      <c r="H10" s="292">
        <f>G10*0.05348</f>
        <v>3043.8377312</v>
      </c>
    </row>
    <row r="11" spans="1:8" s="11" customFormat="1" ht="30.75" customHeight="1">
      <c r="A11" s="59"/>
      <c r="B11" s="10"/>
      <c r="C11" s="50" t="s">
        <v>92</v>
      </c>
      <c r="D11" s="10"/>
      <c r="E11" s="10"/>
      <c r="F11" s="10"/>
      <c r="G11" s="60">
        <f>E11*F11</f>
        <v>0</v>
      </c>
      <c r="H11" s="292">
        <f>G11*0.05348</f>
        <v>0</v>
      </c>
    </row>
    <row r="12" spans="1:8" ht="21.75" customHeight="1">
      <c r="A12" s="100">
        <v>2</v>
      </c>
      <c r="B12" s="57"/>
      <c r="C12" s="50" t="s">
        <v>91</v>
      </c>
      <c r="D12" s="20"/>
      <c r="E12" s="20"/>
      <c r="F12" s="58"/>
      <c r="G12" s="60">
        <f>E12*F12</f>
        <v>0</v>
      </c>
      <c r="H12" s="292">
        <f>G12*0.05348</f>
        <v>0</v>
      </c>
    </row>
    <row r="13" spans="1:8" ht="28.5" customHeight="1">
      <c r="A13" s="56"/>
      <c r="B13" s="57"/>
      <c r="C13" s="50" t="s">
        <v>92</v>
      </c>
      <c r="D13" s="20"/>
      <c r="E13" s="20"/>
      <c r="F13" s="58"/>
      <c r="G13" s="60">
        <f>E13*F13</f>
        <v>0</v>
      </c>
      <c r="H13" s="292">
        <f>G13*0.05348</f>
        <v>0</v>
      </c>
    </row>
    <row r="14" spans="1:8" ht="33.75" customHeight="1">
      <c r="A14" s="100"/>
      <c r="B14" s="95" t="s">
        <v>70</v>
      </c>
      <c r="C14" s="96" t="s">
        <v>1</v>
      </c>
      <c r="D14" s="96" t="s">
        <v>1</v>
      </c>
      <c r="E14" s="96" t="s">
        <v>1</v>
      </c>
      <c r="F14" s="96" t="s">
        <v>1</v>
      </c>
      <c r="G14" s="101">
        <f>SUM(G10:G13)</f>
        <v>56915.439999999995</v>
      </c>
      <c r="H14" s="101">
        <f>SUM(H10:H13)</f>
        <v>3043.8377312</v>
      </c>
    </row>
    <row r="17" ht="13.5">
      <c r="H17" s="521"/>
    </row>
    <row r="23" ht="13.5">
      <c r="H23" s="521"/>
    </row>
  </sheetData>
  <sheetProtection/>
  <mergeCells count="5">
    <mergeCell ref="B3:C3"/>
    <mergeCell ref="F1:G1"/>
    <mergeCell ref="F2:G2"/>
    <mergeCell ref="H2:J2"/>
    <mergeCell ref="D3:G3"/>
  </mergeCells>
  <printOptions/>
  <pageMargins left="0.46" right="0.23" top="0.61" bottom="1" header="0.29" footer="0.5"/>
  <pageSetup horizontalDpi="600" verticalDpi="600" orientation="portrait" paperSize="9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25">
      <selection activeCell="P25" sqref="P25"/>
    </sheetView>
  </sheetViews>
  <sheetFormatPr defaultColWidth="9.140625" defaultRowHeight="12.75" outlineLevelRow="1"/>
  <cols>
    <col min="1" max="1" width="3.421875" style="3" customWidth="1"/>
    <col min="2" max="2" width="22.7109375" style="4" customWidth="1"/>
    <col min="3" max="3" width="19.7109375" style="4" customWidth="1"/>
    <col min="4" max="4" width="9.8515625" style="4" bestFit="1" customWidth="1"/>
    <col min="5" max="5" width="8.7109375" style="4" bestFit="1" customWidth="1"/>
    <col min="6" max="6" width="6.8515625" style="135" customWidth="1"/>
    <col min="7" max="7" width="11.57421875" style="135" customWidth="1"/>
    <col min="8" max="8" width="9.57421875" style="4" bestFit="1" customWidth="1"/>
    <col min="9" max="9" width="9.57421875" style="4" customWidth="1"/>
    <col min="10" max="10" width="10.8515625" style="4" bestFit="1" customWidth="1"/>
    <col min="11" max="11" width="9.7109375" style="4" customWidth="1"/>
    <col min="12" max="12" width="11.140625" style="4" customWidth="1"/>
    <col min="13" max="13" width="7.28125" style="135" customWidth="1"/>
    <col min="14" max="14" width="11.57421875" style="135" customWidth="1"/>
    <col min="15" max="15" width="9.57421875" style="4" bestFit="1" customWidth="1"/>
    <col min="16" max="16" width="9.57421875" style="4" customWidth="1"/>
    <col min="17" max="17" width="10.8515625" style="4" bestFit="1" customWidth="1"/>
    <col min="18" max="18" width="9.57421875" style="4" customWidth="1"/>
    <col min="19" max="19" width="11.140625" style="4" customWidth="1"/>
    <col min="20" max="20" width="10.7109375" style="4" bestFit="1" customWidth="1"/>
    <col min="21" max="16384" width="9.140625" style="4" customWidth="1"/>
  </cols>
  <sheetData>
    <row r="1" spans="1:24" s="27" customFormat="1" ht="13.5">
      <c r="A1" s="236"/>
      <c r="B1" s="2"/>
      <c r="C1" s="2"/>
      <c r="D1" s="2"/>
      <c r="E1" s="2"/>
      <c r="F1" s="2"/>
      <c r="G1" s="87"/>
      <c r="H1" s="87"/>
      <c r="I1" s="87"/>
      <c r="J1" s="2"/>
      <c r="K1" s="2"/>
      <c r="L1" s="106"/>
      <c r="M1" s="106"/>
      <c r="N1" s="106"/>
      <c r="O1" s="106"/>
      <c r="P1" s="106"/>
      <c r="Q1" s="26"/>
      <c r="R1" s="98" t="s">
        <v>94</v>
      </c>
      <c r="S1" s="2"/>
      <c r="T1" s="682"/>
      <c r="U1" s="682"/>
      <c r="V1" s="682"/>
      <c r="W1" s="682"/>
      <c r="X1" s="682"/>
    </row>
    <row r="2" spans="1:24" s="27" customFormat="1" ht="12.75" customHeight="1">
      <c r="A2" s="236"/>
      <c r="B2" s="2"/>
      <c r="C2" s="2"/>
      <c r="D2" s="2"/>
      <c r="E2" s="2"/>
      <c r="F2" s="2"/>
      <c r="G2" s="87"/>
      <c r="H2" s="87"/>
      <c r="I2" s="87"/>
      <c r="J2" s="2"/>
      <c r="K2" s="2"/>
      <c r="L2" s="106"/>
      <c r="M2" s="106"/>
      <c r="N2" s="106"/>
      <c r="O2" s="106"/>
      <c r="P2" s="106"/>
      <c r="Q2" s="682" t="s">
        <v>10</v>
      </c>
      <c r="R2" s="682"/>
      <c r="S2" s="682"/>
      <c r="T2" s="682"/>
      <c r="U2" s="682"/>
      <c r="V2" s="682"/>
      <c r="W2" s="682"/>
      <c r="X2" s="682"/>
    </row>
    <row r="3" spans="2:21" s="27" customFormat="1" ht="15" customHeight="1" thickBot="1">
      <c r="B3" s="676" t="s">
        <v>473</v>
      </c>
      <c r="C3" s="676"/>
      <c r="D3" s="676"/>
      <c r="E3" s="676"/>
      <c r="F3" s="676"/>
      <c r="G3" s="676"/>
      <c r="H3" s="676"/>
      <c r="I3" s="676"/>
      <c r="J3" s="676"/>
      <c r="K3" s="676"/>
      <c r="L3" s="106"/>
      <c r="M3" s="106"/>
      <c r="N3" s="106"/>
      <c r="O3" s="106"/>
      <c r="P3" s="106"/>
      <c r="Q3" s="106"/>
      <c r="R3" s="106"/>
      <c r="S3" s="106"/>
      <c r="U3" s="27" t="s">
        <v>0</v>
      </c>
    </row>
    <row r="4" spans="1:19" s="27" customFormat="1" ht="18" customHeight="1">
      <c r="A4" s="26"/>
      <c r="B4" s="710" t="s">
        <v>96</v>
      </c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34"/>
      <c r="N4" s="34"/>
      <c r="O4" s="34"/>
      <c r="P4" s="34"/>
      <c r="Q4" s="34"/>
      <c r="R4" s="34"/>
      <c r="S4" s="34"/>
    </row>
    <row r="5" spans="1:19" s="27" customFormat="1" ht="13.5">
      <c r="A5" s="26"/>
      <c r="B5" s="140"/>
      <c r="C5" s="140"/>
      <c r="D5" s="140"/>
      <c r="E5" s="140"/>
      <c r="F5" s="241"/>
      <c r="G5" s="241"/>
      <c r="H5" s="140"/>
      <c r="I5" s="140"/>
      <c r="J5" s="140"/>
      <c r="K5" s="140"/>
      <c r="L5" s="140"/>
      <c r="M5" s="242"/>
      <c r="N5" s="242"/>
      <c r="O5" s="7"/>
      <c r="P5" s="7"/>
      <c r="Q5" s="7"/>
      <c r="R5" s="7"/>
      <c r="S5" s="7"/>
    </row>
    <row r="6" spans="1:19" s="27" customFormat="1" ht="14.25">
      <c r="A6" s="26"/>
      <c r="B6" s="710" t="s">
        <v>97</v>
      </c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143"/>
      <c r="N6" s="143"/>
      <c r="O6" s="143"/>
      <c r="P6" s="143"/>
      <c r="Q6" s="143"/>
      <c r="R6" s="143"/>
      <c r="S6" s="143"/>
    </row>
    <row r="7" spans="1:19" s="27" customFormat="1" ht="14.25">
      <c r="A7" s="26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</row>
    <row r="8" spans="1:20" s="27" customFormat="1" ht="15" thickBot="1">
      <c r="A8" s="26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708" t="s">
        <v>98</v>
      </c>
      <c r="T8" s="708"/>
    </row>
    <row r="9" spans="1:20" ht="25.5" customHeight="1" thickBot="1">
      <c r="A9" s="107"/>
      <c r="B9" s="108"/>
      <c r="C9" s="364"/>
      <c r="D9" s="703" t="s">
        <v>323</v>
      </c>
      <c r="E9" s="704"/>
      <c r="F9" s="709" t="s">
        <v>248</v>
      </c>
      <c r="G9" s="706"/>
      <c r="H9" s="706"/>
      <c r="I9" s="706"/>
      <c r="J9" s="706"/>
      <c r="K9" s="706"/>
      <c r="L9" s="707"/>
      <c r="M9" s="705" t="s">
        <v>253</v>
      </c>
      <c r="N9" s="706"/>
      <c r="O9" s="706"/>
      <c r="P9" s="706"/>
      <c r="Q9" s="706"/>
      <c r="R9" s="706"/>
      <c r="S9" s="707"/>
      <c r="T9" s="109"/>
    </row>
    <row r="10" spans="1:20" ht="21.75" customHeight="1">
      <c r="A10" s="110"/>
      <c r="B10" s="111"/>
      <c r="C10" s="365"/>
      <c r="D10" s="201"/>
      <c r="E10" s="201"/>
      <c r="F10" s="203"/>
      <c r="G10" s="112"/>
      <c r="H10" s="112"/>
      <c r="I10" s="701" t="s">
        <v>106</v>
      </c>
      <c r="J10" s="702"/>
      <c r="K10" s="112"/>
      <c r="L10" s="113"/>
      <c r="M10" s="114"/>
      <c r="N10" s="112"/>
      <c r="O10" s="112"/>
      <c r="P10" s="701" t="s">
        <v>106</v>
      </c>
      <c r="Q10" s="702"/>
      <c r="R10" s="112"/>
      <c r="S10" s="113"/>
      <c r="T10" s="115"/>
    </row>
    <row r="11" spans="1:20" s="11" customFormat="1" ht="72.75" customHeight="1" thickBot="1">
      <c r="A11" s="116" t="s">
        <v>71</v>
      </c>
      <c r="B11" s="117" t="s">
        <v>99</v>
      </c>
      <c r="C11" s="497" t="s">
        <v>242</v>
      </c>
      <c r="D11" s="202" t="s">
        <v>101</v>
      </c>
      <c r="E11" s="202" t="s">
        <v>105</v>
      </c>
      <c r="F11" s="199" t="s">
        <v>100</v>
      </c>
      <c r="G11" s="118" t="s">
        <v>101</v>
      </c>
      <c r="H11" s="118" t="s">
        <v>102</v>
      </c>
      <c r="I11" s="119" t="s">
        <v>103</v>
      </c>
      <c r="J11" s="119" t="s">
        <v>70</v>
      </c>
      <c r="K11" s="118" t="s">
        <v>104</v>
      </c>
      <c r="L11" s="120" t="s">
        <v>105</v>
      </c>
      <c r="M11" s="121" t="s">
        <v>100</v>
      </c>
      <c r="N11" s="118" t="s">
        <v>101</v>
      </c>
      <c r="O11" s="118" t="s">
        <v>102</v>
      </c>
      <c r="P11" s="119" t="s">
        <v>103</v>
      </c>
      <c r="Q11" s="119" t="s">
        <v>70</v>
      </c>
      <c r="R11" s="118" t="s">
        <v>107</v>
      </c>
      <c r="S11" s="120" t="s">
        <v>105</v>
      </c>
      <c r="T11" s="122" t="s">
        <v>108</v>
      </c>
    </row>
    <row r="12" spans="1:20" s="11" customFormat="1" ht="18.75" customHeight="1" thickBot="1">
      <c r="A12" s="525">
        <v>1</v>
      </c>
      <c r="B12" s="526">
        <v>2</v>
      </c>
      <c r="C12" s="525">
        <v>3</v>
      </c>
      <c r="D12" s="526">
        <v>4</v>
      </c>
      <c r="E12" s="525">
        <v>5</v>
      </c>
      <c r="F12" s="526">
        <v>6</v>
      </c>
      <c r="G12" s="525">
        <v>7</v>
      </c>
      <c r="H12" s="526">
        <v>8</v>
      </c>
      <c r="I12" s="525">
        <v>9</v>
      </c>
      <c r="J12" s="526">
        <v>10</v>
      </c>
      <c r="K12" s="525">
        <v>11</v>
      </c>
      <c r="L12" s="526">
        <v>12</v>
      </c>
      <c r="M12" s="525">
        <v>13</v>
      </c>
      <c r="N12" s="526">
        <v>14</v>
      </c>
      <c r="O12" s="525">
        <v>15</v>
      </c>
      <c r="P12" s="526">
        <v>16</v>
      </c>
      <c r="Q12" s="525">
        <v>17</v>
      </c>
      <c r="R12" s="526">
        <v>18</v>
      </c>
      <c r="S12" s="525">
        <v>19</v>
      </c>
      <c r="T12" s="527">
        <v>20</v>
      </c>
    </row>
    <row r="13" spans="1:20" s="11" customFormat="1" ht="36" customHeight="1" outlineLevel="1">
      <c r="A13" s="524">
        <v>1</v>
      </c>
      <c r="B13" s="200" t="s">
        <v>498</v>
      </c>
      <c r="C13" s="524" t="s">
        <v>499</v>
      </c>
      <c r="D13" s="79">
        <v>3</v>
      </c>
      <c r="E13" s="79">
        <f>27+11+27+27+30+30</f>
        <v>152</v>
      </c>
      <c r="F13" s="655"/>
      <c r="G13" s="656"/>
      <c r="H13" s="655"/>
      <c r="I13" s="656"/>
      <c r="J13" s="655"/>
      <c r="K13" s="656"/>
      <c r="L13" s="655"/>
      <c r="M13" s="656"/>
      <c r="N13" s="655"/>
      <c r="O13" s="125">
        <f aca="true" t="shared" si="0" ref="O13:O18">M13*N13*5</f>
        <v>0</v>
      </c>
      <c r="P13" s="655"/>
      <c r="Q13" s="125">
        <f aca="true" t="shared" si="1" ref="Q13:Q19">(M13-1)*N13*P13</f>
        <v>0</v>
      </c>
      <c r="R13" s="655"/>
      <c r="S13" s="125">
        <f>O13+Q13+(R13*N13*2)</f>
        <v>0</v>
      </c>
      <c r="T13" s="126">
        <f>S13-L13</f>
        <v>0</v>
      </c>
    </row>
    <row r="14" spans="1:20" s="11" customFormat="1" ht="34.5" customHeight="1" outlineLevel="1">
      <c r="A14" s="59">
        <v>2</v>
      </c>
      <c r="B14" s="200" t="s">
        <v>500</v>
      </c>
      <c r="C14" s="524" t="s">
        <v>499</v>
      </c>
      <c r="D14" s="79">
        <v>3</v>
      </c>
      <c r="E14" s="79">
        <f>35+35+35+20+20+20</f>
        <v>165</v>
      </c>
      <c r="F14" s="529"/>
      <c r="G14" s="56"/>
      <c r="H14" s="529"/>
      <c r="I14" s="56"/>
      <c r="J14" s="529"/>
      <c r="K14" s="56"/>
      <c r="L14" s="529"/>
      <c r="M14" s="56"/>
      <c r="N14" s="529"/>
      <c r="O14" s="125">
        <f t="shared" si="0"/>
        <v>0</v>
      </c>
      <c r="P14" s="529"/>
      <c r="Q14" s="125">
        <f t="shared" si="1"/>
        <v>0</v>
      </c>
      <c r="R14" s="529"/>
      <c r="S14" s="125">
        <f>O14+Q14+(R14*N14*2)</f>
        <v>0</v>
      </c>
      <c r="T14" s="126">
        <f>S14-L14</f>
        <v>0</v>
      </c>
    </row>
    <row r="15" spans="1:20" s="11" customFormat="1" ht="30.75" customHeight="1" outlineLevel="1">
      <c r="A15" s="59">
        <v>3</v>
      </c>
      <c r="B15" s="654" t="s">
        <v>501</v>
      </c>
      <c r="C15" s="524" t="s">
        <v>499</v>
      </c>
      <c r="D15" s="79">
        <v>2</v>
      </c>
      <c r="E15" s="79">
        <f>35+35+40+40</f>
        <v>150</v>
      </c>
      <c r="F15" s="529">
        <v>1</v>
      </c>
      <c r="G15" s="657">
        <v>1</v>
      </c>
      <c r="H15" s="125">
        <f aca="true" t="shared" si="2" ref="H15:H22">F15*G15*5</f>
        <v>5</v>
      </c>
      <c r="I15" s="56"/>
      <c r="J15" s="529">
        <v>0</v>
      </c>
      <c r="K15" s="56"/>
      <c r="L15" s="125">
        <f aca="true" t="shared" si="3" ref="L15:L22">H15+J15+(K15*G15*2)</f>
        <v>5</v>
      </c>
      <c r="M15" s="56"/>
      <c r="N15" s="529"/>
      <c r="O15" s="125">
        <f t="shared" si="0"/>
        <v>0</v>
      </c>
      <c r="P15" s="529"/>
      <c r="Q15" s="125">
        <f t="shared" si="1"/>
        <v>0</v>
      </c>
      <c r="R15" s="529"/>
      <c r="S15" s="125">
        <f>O15+Q15+(R15*N15*2)</f>
        <v>0</v>
      </c>
      <c r="T15" s="126">
        <f>S15-L15</f>
        <v>-5</v>
      </c>
    </row>
    <row r="16" spans="1:20" s="11" customFormat="1" ht="27" customHeight="1" outlineLevel="1">
      <c r="A16" s="59">
        <v>4</v>
      </c>
      <c r="B16" s="654" t="s">
        <v>502</v>
      </c>
      <c r="C16" s="524" t="s">
        <v>499</v>
      </c>
      <c r="D16" s="79">
        <v>7</v>
      </c>
      <c r="E16" s="79">
        <f>6+27+27+3+3+3+3</f>
        <v>72</v>
      </c>
      <c r="F16" s="529">
        <v>2</v>
      </c>
      <c r="G16" s="657">
        <v>1</v>
      </c>
      <c r="H16" s="125">
        <f>F16*G16*5</f>
        <v>10</v>
      </c>
      <c r="I16" s="657">
        <v>19</v>
      </c>
      <c r="J16" s="529">
        <v>19</v>
      </c>
      <c r="K16" s="657"/>
      <c r="L16" s="125">
        <f t="shared" si="3"/>
        <v>29</v>
      </c>
      <c r="M16" s="657">
        <v>4</v>
      </c>
      <c r="N16" s="529">
        <v>2</v>
      </c>
      <c r="O16" s="125">
        <f>M16*N16*5</f>
        <v>40</v>
      </c>
      <c r="P16" s="529">
        <v>18</v>
      </c>
      <c r="Q16" s="125">
        <f>(M16-1)*N16*P16</f>
        <v>108</v>
      </c>
      <c r="R16" s="529"/>
      <c r="S16" s="125">
        <f>O16+Q16+(R16*N16*2)</f>
        <v>148</v>
      </c>
      <c r="T16" s="126">
        <f>S16-L16</f>
        <v>119</v>
      </c>
    </row>
    <row r="17" spans="1:20" s="11" customFormat="1" ht="23.25" customHeight="1" outlineLevel="1">
      <c r="A17" s="59">
        <v>5</v>
      </c>
      <c r="B17" s="654" t="s">
        <v>503</v>
      </c>
      <c r="C17" s="524" t="s">
        <v>499</v>
      </c>
      <c r="D17" s="79">
        <v>4</v>
      </c>
      <c r="E17" s="79">
        <f>3+3+3+3</f>
        <v>12</v>
      </c>
      <c r="F17" s="529">
        <v>2</v>
      </c>
      <c r="G17" s="56">
        <v>1</v>
      </c>
      <c r="H17" s="125">
        <f t="shared" si="2"/>
        <v>10</v>
      </c>
      <c r="I17" s="56">
        <v>19</v>
      </c>
      <c r="J17" s="529">
        <v>19</v>
      </c>
      <c r="K17" s="56"/>
      <c r="L17" s="125">
        <f t="shared" si="3"/>
        <v>29</v>
      </c>
      <c r="M17" s="56"/>
      <c r="N17" s="529"/>
      <c r="O17" s="125">
        <f t="shared" si="0"/>
        <v>0</v>
      </c>
      <c r="P17" s="529"/>
      <c r="Q17" s="125">
        <f t="shared" si="1"/>
        <v>0</v>
      </c>
      <c r="R17" s="529"/>
      <c r="S17" s="125">
        <f aca="true" t="shared" si="4" ref="S17:S25">O17+Q17+(R17*N17*2)</f>
        <v>0</v>
      </c>
      <c r="T17" s="126">
        <f aca="true" t="shared" si="5" ref="T17:T23">S17-L17</f>
        <v>-29</v>
      </c>
    </row>
    <row r="18" spans="1:20" s="11" customFormat="1" ht="24.75" customHeight="1" outlineLevel="1">
      <c r="A18" s="59">
        <v>6</v>
      </c>
      <c r="B18" s="538" t="s">
        <v>504</v>
      </c>
      <c r="C18" s="524" t="s">
        <v>499</v>
      </c>
      <c r="D18" s="79">
        <v>12</v>
      </c>
      <c r="E18" s="79">
        <f>6+3+3+3+9+9+9+9+3+3+6+9+9</f>
        <v>81</v>
      </c>
      <c r="F18" s="529"/>
      <c r="G18" s="56"/>
      <c r="H18" s="125">
        <f t="shared" si="2"/>
        <v>0</v>
      </c>
      <c r="I18" s="56"/>
      <c r="J18" s="529"/>
      <c r="K18" s="56"/>
      <c r="L18" s="125">
        <f t="shared" si="3"/>
        <v>0</v>
      </c>
      <c r="M18" s="56"/>
      <c r="N18" s="529"/>
      <c r="O18" s="125">
        <f t="shared" si="0"/>
        <v>0</v>
      </c>
      <c r="P18" s="529"/>
      <c r="Q18" s="125">
        <f t="shared" si="1"/>
        <v>0</v>
      </c>
      <c r="R18" s="529"/>
      <c r="S18" s="125">
        <f t="shared" si="4"/>
        <v>0</v>
      </c>
      <c r="T18" s="126">
        <f>S18-L18</f>
        <v>0</v>
      </c>
    </row>
    <row r="19" spans="1:20" ht="108.75" customHeight="1" outlineLevel="1">
      <c r="A19" s="123">
        <v>7</v>
      </c>
      <c r="B19" s="200" t="s">
        <v>474</v>
      </c>
      <c r="C19" s="523" t="s">
        <v>475</v>
      </c>
      <c r="D19" s="124"/>
      <c r="E19" s="124"/>
      <c r="F19" s="79">
        <v>4</v>
      </c>
      <c r="G19" s="79">
        <v>3</v>
      </c>
      <c r="H19" s="125">
        <f t="shared" si="2"/>
        <v>60</v>
      </c>
      <c r="I19" s="125">
        <v>19</v>
      </c>
      <c r="J19" s="125">
        <f>(F19-1)*G19*I19</f>
        <v>171</v>
      </c>
      <c r="K19" s="79"/>
      <c r="L19" s="125">
        <f t="shared" si="3"/>
        <v>231</v>
      </c>
      <c r="M19" s="79">
        <v>4</v>
      </c>
      <c r="N19" s="79">
        <v>3</v>
      </c>
      <c r="O19" s="125">
        <f>M19*N19*5</f>
        <v>60</v>
      </c>
      <c r="P19" s="125">
        <v>18</v>
      </c>
      <c r="Q19" s="125">
        <f t="shared" si="1"/>
        <v>162</v>
      </c>
      <c r="R19" s="79"/>
      <c r="S19" s="125">
        <f t="shared" si="4"/>
        <v>222</v>
      </c>
      <c r="T19" s="126">
        <f>S19-L19</f>
        <v>-9</v>
      </c>
    </row>
    <row r="20" spans="1:20" ht="111" customHeight="1" outlineLevel="1">
      <c r="A20" s="127">
        <v>8</v>
      </c>
      <c r="B20" s="8" t="s">
        <v>476</v>
      </c>
      <c r="C20" s="523" t="s">
        <v>475</v>
      </c>
      <c r="D20" s="124"/>
      <c r="E20" s="124"/>
      <c r="F20" s="79">
        <v>5</v>
      </c>
      <c r="G20" s="79">
        <v>3</v>
      </c>
      <c r="H20" s="125">
        <f t="shared" si="2"/>
        <v>75</v>
      </c>
      <c r="I20" s="125">
        <v>19</v>
      </c>
      <c r="J20" s="125">
        <f>(F20-1)*G20*I20</f>
        <v>228</v>
      </c>
      <c r="K20" s="79"/>
      <c r="L20" s="129">
        <f t="shared" si="3"/>
        <v>303</v>
      </c>
      <c r="M20" s="79"/>
      <c r="N20" s="79"/>
      <c r="O20" s="125">
        <f aca="true" t="shared" si="6" ref="O20:O25">M20*N20*5</f>
        <v>0</v>
      </c>
      <c r="P20" s="125"/>
      <c r="Q20" s="125">
        <f>(M20-1)*N20*P20</f>
        <v>0</v>
      </c>
      <c r="R20" s="79"/>
      <c r="S20" s="125">
        <f t="shared" si="4"/>
        <v>0</v>
      </c>
      <c r="T20" s="126">
        <f t="shared" si="5"/>
        <v>-303</v>
      </c>
    </row>
    <row r="21" spans="1:20" ht="105.75" customHeight="1" outlineLevel="1">
      <c r="A21" s="127">
        <v>9</v>
      </c>
      <c r="B21" s="8" t="s">
        <v>478</v>
      </c>
      <c r="C21" s="523" t="s">
        <v>475</v>
      </c>
      <c r="D21" s="124"/>
      <c r="E21" s="124"/>
      <c r="F21" s="79">
        <v>5</v>
      </c>
      <c r="G21" s="79">
        <v>3</v>
      </c>
      <c r="H21" s="125">
        <f t="shared" si="2"/>
        <v>75</v>
      </c>
      <c r="I21" s="125">
        <v>19</v>
      </c>
      <c r="J21" s="125">
        <f>(F21-1)*G21*I21</f>
        <v>228</v>
      </c>
      <c r="K21" s="79"/>
      <c r="L21" s="129">
        <f t="shared" si="3"/>
        <v>303</v>
      </c>
      <c r="M21" s="79"/>
      <c r="N21" s="79"/>
      <c r="O21" s="125">
        <f t="shared" si="6"/>
        <v>0</v>
      </c>
      <c r="P21" s="125"/>
      <c r="Q21" s="125">
        <f>(M21-1)*N21*P21</f>
        <v>0</v>
      </c>
      <c r="R21" s="79"/>
      <c r="S21" s="125">
        <f t="shared" si="4"/>
        <v>0</v>
      </c>
      <c r="T21" s="126">
        <f t="shared" si="5"/>
        <v>-303</v>
      </c>
    </row>
    <row r="22" spans="1:20" ht="51.75" customHeight="1" outlineLevel="1">
      <c r="A22" s="127">
        <v>10</v>
      </c>
      <c r="B22" s="128" t="s">
        <v>479</v>
      </c>
      <c r="C22" s="200" t="s">
        <v>477</v>
      </c>
      <c r="D22" s="200"/>
      <c r="E22" s="200"/>
      <c r="F22" s="79">
        <v>5</v>
      </c>
      <c r="G22" s="79">
        <v>1</v>
      </c>
      <c r="H22" s="125">
        <f t="shared" si="2"/>
        <v>25</v>
      </c>
      <c r="I22" s="125">
        <v>19</v>
      </c>
      <c r="J22" s="125">
        <f>(F22-1)*G22*I22</f>
        <v>76</v>
      </c>
      <c r="K22" s="79"/>
      <c r="L22" s="129">
        <f t="shared" si="3"/>
        <v>101</v>
      </c>
      <c r="M22" s="79"/>
      <c r="N22" s="79"/>
      <c r="O22" s="125">
        <f t="shared" si="6"/>
        <v>0</v>
      </c>
      <c r="P22" s="125"/>
      <c r="Q22" s="125">
        <f>(M22-1)*N22*P22</f>
        <v>0</v>
      </c>
      <c r="R22" s="79"/>
      <c r="S22" s="125">
        <f t="shared" si="4"/>
        <v>0</v>
      </c>
      <c r="T22" s="126">
        <f t="shared" si="5"/>
        <v>-101</v>
      </c>
    </row>
    <row r="23" spans="1:23" ht="103.5" customHeight="1" outlineLevel="1">
      <c r="A23" s="127">
        <v>11</v>
      </c>
      <c r="B23" s="128" t="s">
        <v>836</v>
      </c>
      <c r="C23" s="523" t="s">
        <v>475</v>
      </c>
      <c r="D23" s="200"/>
      <c r="E23" s="200"/>
      <c r="F23" s="79"/>
      <c r="G23" s="79"/>
      <c r="H23" s="125"/>
      <c r="I23" s="125"/>
      <c r="J23" s="125"/>
      <c r="K23" s="79"/>
      <c r="L23" s="129"/>
      <c r="M23" s="79">
        <v>4</v>
      </c>
      <c r="N23" s="79">
        <v>3</v>
      </c>
      <c r="O23" s="125">
        <f t="shared" si="6"/>
        <v>60</v>
      </c>
      <c r="P23" s="125">
        <v>20</v>
      </c>
      <c r="Q23" s="125">
        <f>(M23-1)*N23*P23</f>
        <v>180</v>
      </c>
      <c r="R23" s="79"/>
      <c r="S23" s="125">
        <f t="shared" si="4"/>
        <v>240</v>
      </c>
      <c r="T23" s="126">
        <f t="shared" si="5"/>
        <v>240</v>
      </c>
      <c r="W23" s="4" t="s">
        <v>839</v>
      </c>
    </row>
    <row r="24" spans="1:20" ht="103.5" customHeight="1" outlineLevel="1">
      <c r="A24" s="127">
        <v>12</v>
      </c>
      <c r="B24" s="128" t="s">
        <v>836</v>
      </c>
      <c r="C24" s="523" t="s">
        <v>840</v>
      </c>
      <c r="D24" s="200"/>
      <c r="E24" s="200"/>
      <c r="F24" s="79"/>
      <c r="G24" s="79"/>
      <c r="H24" s="125"/>
      <c r="I24" s="125"/>
      <c r="J24" s="125"/>
      <c r="K24" s="79"/>
      <c r="L24" s="129"/>
      <c r="M24" s="79">
        <v>4</v>
      </c>
      <c r="N24" s="79">
        <v>2</v>
      </c>
      <c r="O24" s="125">
        <f t="shared" si="6"/>
        <v>40</v>
      </c>
      <c r="P24" s="125">
        <v>20</v>
      </c>
      <c r="Q24" s="125">
        <f>(M24-1)*N24*P24</f>
        <v>120</v>
      </c>
      <c r="R24" s="79"/>
      <c r="S24" s="125">
        <f t="shared" si="4"/>
        <v>160</v>
      </c>
      <c r="T24" s="126">
        <f>S24-L24</f>
        <v>160</v>
      </c>
    </row>
    <row r="25" spans="1:20" ht="111.75" customHeight="1" outlineLevel="1" thickBot="1">
      <c r="A25" s="127">
        <v>13</v>
      </c>
      <c r="B25" s="128" t="s">
        <v>837</v>
      </c>
      <c r="C25" s="523" t="s">
        <v>475</v>
      </c>
      <c r="D25" s="200"/>
      <c r="E25" s="200"/>
      <c r="F25" s="79"/>
      <c r="G25" s="79"/>
      <c r="H25" s="125"/>
      <c r="I25" s="125"/>
      <c r="J25" s="125"/>
      <c r="K25" s="79"/>
      <c r="L25" s="129"/>
      <c r="M25" s="79">
        <v>4</v>
      </c>
      <c r="N25" s="79">
        <v>3</v>
      </c>
      <c r="O25" s="125">
        <f t="shared" si="6"/>
        <v>60</v>
      </c>
      <c r="P25" s="125">
        <v>19</v>
      </c>
      <c r="Q25" s="125">
        <f>(M25-1)*N25*P25</f>
        <v>171</v>
      </c>
      <c r="R25" s="79"/>
      <c r="S25" s="125">
        <f t="shared" si="4"/>
        <v>231</v>
      </c>
      <c r="T25" s="126">
        <f>S25-L25</f>
        <v>231</v>
      </c>
    </row>
    <row r="26" spans="1:20" ht="18" customHeight="1" thickBot="1">
      <c r="A26" s="130"/>
      <c r="B26" s="131" t="s">
        <v>70</v>
      </c>
      <c r="C26" s="131"/>
      <c r="D26" s="131"/>
      <c r="E26" s="537">
        <f>SUM(E13:E25)</f>
        <v>632</v>
      </c>
      <c r="F26" s="537"/>
      <c r="G26" s="537"/>
      <c r="H26" s="537">
        <f>SUM(H13:H25)</f>
        <v>260</v>
      </c>
      <c r="I26" s="537"/>
      <c r="J26" s="537">
        <f>SUM(J13:J25)</f>
        <v>741</v>
      </c>
      <c r="K26" s="537"/>
      <c r="L26" s="537">
        <f>SUM(L13:L25)</f>
        <v>1001</v>
      </c>
      <c r="M26" s="537"/>
      <c r="N26" s="537"/>
      <c r="O26" s="537">
        <f>SUM(O13:O25)</f>
        <v>260</v>
      </c>
      <c r="P26" s="537"/>
      <c r="Q26" s="537">
        <f>SUM(Q13:Q25)</f>
        <v>741</v>
      </c>
      <c r="R26" s="537"/>
      <c r="S26" s="537">
        <f>SUM(S13:S25)</f>
        <v>1001</v>
      </c>
      <c r="T26" s="537">
        <f>SUM(T13:T25)</f>
        <v>0</v>
      </c>
    </row>
    <row r="27" spans="2:19" ht="10.5" customHeight="1">
      <c r="B27" s="132"/>
      <c r="C27" s="132"/>
      <c r="D27" s="132"/>
      <c r="E27" s="132"/>
      <c r="F27" s="133"/>
      <c r="G27" s="134"/>
      <c r="H27" s="134"/>
      <c r="I27" s="134"/>
      <c r="J27" s="134"/>
      <c r="K27" s="134"/>
      <c r="L27" s="134"/>
      <c r="M27" s="133"/>
      <c r="N27" s="134"/>
      <c r="O27" s="134"/>
      <c r="P27" s="134"/>
      <c r="Q27" s="134"/>
      <c r="R27" s="134"/>
      <c r="S27" s="134"/>
    </row>
    <row r="28" ht="13.5">
      <c r="T28" s="566"/>
    </row>
  </sheetData>
  <sheetProtection/>
  <mergeCells count="14">
    <mergeCell ref="V1:X1"/>
    <mergeCell ref="T1:U1"/>
    <mergeCell ref="Q2:S2"/>
    <mergeCell ref="F9:L9"/>
    <mergeCell ref="B4:L4"/>
    <mergeCell ref="B6:L6"/>
    <mergeCell ref="I10:J10"/>
    <mergeCell ref="D9:E9"/>
    <mergeCell ref="M9:S9"/>
    <mergeCell ref="P10:Q10"/>
    <mergeCell ref="V2:X2"/>
    <mergeCell ref="T2:U2"/>
    <mergeCell ref="S8:T8"/>
    <mergeCell ref="B3:K3"/>
  </mergeCells>
  <printOptions/>
  <pageMargins left="0.33" right="0.24" top="0.29" bottom="0.25" header="0.22" footer="0.17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13">
      <selection activeCell="E8" sqref="E8"/>
    </sheetView>
  </sheetViews>
  <sheetFormatPr defaultColWidth="9.140625" defaultRowHeight="12.75"/>
  <cols>
    <col min="1" max="1" width="4.8515625" style="4" customWidth="1"/>
    <col min="2" max="2" width="32.7109375" style="4" customWidth="1"/>
    <col min="3" max="3" width="10.140625" style="4" customWidth="1"/>
    <col min="4" max="4" width="11.421875" style="4" customWidth="1"/>
    <col min="5" max="5" width="13.7109375" style="4" customWidth="1"/>
    <col min="6" max="6" width="12.57421875" style="4" customWidth="1"/>
    <col min="7" max="7" width="27.421875" style="4" customWidth="1"/>
    <col min="8" max="8" width="8.7109375" style="4" customWidth="1"/>
    <col min="9" max="9" width="9.140625" style="4" customWidth="1"/>
    <col min="10" max="10" width="11.00390625" style="4" customWidth="1"/>
    <col min="11" max="11" width="8.7109375" style="4" customWidth="1"/>
    <col min="12" max="12" width="9.140625" style="4" customWidth="1"/>
    <col min="13" max="13" width="11.00390625" style="4" customWidth="1"/>
    <col min="14" max="16384" width="9.140625" style="4" customWidth="1"/>
  </cols>
  <sheetData>
    <row r="1" spans="1:16" ht="13.5">
      <c r="A1" s="279"/>
      <c r="B1" s="272"/>
      <c r="C1" s="272"/>
      <c r="D1" s="280"/>
      <c r="E1" s="272"/>
      <c r="F1" s="281"/>
      <c r="G1" s="281"/>
      <c r="H1" s="26"/>
      <c r="I1" s="98" t="s">
        <v>95</v>
      </c>
      <c r="J1" s="2"/>
      <c r="K1" s="98"/>
      <c r="L1" s="98"/>
      <c r="M1" s="26"/>
      <c r="N1" s="3"/>
      <c r="O1" s="3"/>
      <c r="P1" s="3"/>
    </row>
    <row r="2" spans="1:16" ht="12.75" customHeight="1">
      <c r="A2" s="279"/>
      <c r="B2" s="272"/>
      <c r="C2" s="272"/>
      <c r="D2" s="280"/>
      <c r="E2" s="272"/>
      <c r="F2" s="281"/>
      <c r="G2" s="281"/>
      <c r="H2" s="682" t="s">
        <v>10</v>
      </c>
      <c r="I2" s="682"/>
      <c r="J2" s="682"/>
      <c r="K2" s="98"/>
      <c r="L2" s="98"/>
      <c r="M2" s="98"/>
      <c r="N2" s="3"/>
      <c r="O2" s="3"/>
      <c r="P2" s="3"/>
    </row>
    <row r="3" spans="1:13" ht="15" thickBot="1">
      <c r="A3" s="26"/>
      <c r="B3" s="700" t="s">
        <v>454</v>
      </c>
      <c r="C3" s="700"/>
      <c r="D3" s="700"/>
      <c r="E3" s="700"/>
      <c r="F3" s="282"/>
      <c r="G3" s="283"/>
      <c r="H3" s="27"/>
      <c r="I3" s="27"/>
      <c r="J3" s="27"/>
      <c r="K3" s="27"/>
      <c r="L3" s="27"/>
      <c r="M3" s="27"/>
    </row>
    <row r="4" spans="1:13" s="139" customFormat="1" ht="17.25" customHeight="1">
      <c r="A4" s="26"/>
      <c r="B4" s="284" t="s">
        <v>11</v>
      </c>
      <c r="C4" s="284"/>
      <c r="D4" s="284"/>
      <c r="E4" s="285"/>
      <c r="F4" s="285"/>
      <c r="G4" s="36"/>
      <c r="H4" s="138"/>
      <c r="I4" s="138"/>
      <c r="J4" s="138"/>
      <c r="K4" s="138"/>
      <c r="L4" s="138"/>
      <c r="M4" s="138"/>
    </row>
    <row r="5" spans="1:13" s="141" customFormat="1" ht="26.25" customHeight="1">
      <c r="A5" s="105" t="s">
        <v>96</v>
      </c>
      <c r="B5" s="105"/>
      <c r="C5" s="105"/>
      <c r="D5" s="105"/>
      <c r="E5" s="105"/>
      <c r="F5" s="105"/>
      <c r="G5" s="105"/>
      <c r="H5" s="288"/>
      <c r="I5" s="288"/>
      <c r="J5" s="288"/>
      <c r="K5" s="288"/>
      <c r="L5" s="288"/>
      <c r="M5" s="288"/>
    </row>
    <row r="6" spans="1:13" s="141" customFormat="1" ht="14.25">
      <c r="A6" s="105" t="s">
        <v>386</v>
      </c>
      <c r="B6" s="105"/>
      <c r="C6" s="105"/>
      <c r="D6" s="105"/>
      <c r="E6" s="105"/>
      <c r="F6" s="105"/>
      <c r="G6" s="105"/>
      <c r="H6" s="288"/>
      <c r="I6" s="288"/>
      <c r="J6" s="288"/>
      <c r="K6" s="288"/>
      <c r="L6" s="288"/>
      <c r="M6" s="288"/>
    </row>
    <row r="7" spans="1:13" s="27" customFormat="1" ht="26.25" customHeight="1" thickBot="1">
      <c r="A7" s="105"/>
      <c r="B7" s="289"/>
      <c r="C7" s="105"/>
      <c r="D7" s="105"/>
      <c r="E7" s="105"/>
      <c r="F7" s="105"/>
      <c r="G7" s="105"/>
      <c r="H7" s="288"/>
      <c r="I7" s="288"/>
      <c r="J7" s="288"/>
      <c r="K7" s="288"/>
      <c r="L7" s="288"/>
      <c r="M7" s="288"/>
    </row>
    <row r="8" spans="1:6" ht="15" thickBot="1">
      <c r="A8"/>
      <c r="B8" s="484" t="s">
        <v>380</v>
      </c>
      <c r="C8" s="484"/>
      <c r="D8"/>
      <c r="F8" s="485">
        <v>4</v>
      </c>
    </row>
    <row r="9" spans="1:6" ht="22.5" customHeight="1" thickBot="1">
      <c r="A9"/>
      <c r="B9" s="486"/>
      <c r="C9" s="487"/>
      <c r="D9" s="105"/>
      <c r="F9" s="105"/>
    </row>
    <row r="10" spans="1:6" ht="15" thickBot="1">
      <c r="A10"/>
      <c r="B10" s="484" t="s">
        <v>381</v>
      </c>
      <c r="C10" s="484"/>
      <c r="D10"/>
      <c r="F10" s="485">
        <v>4</v>
      </c>
    </row>
    <row r="11" spans="1:6" ht="15" thickBot="1">
      <c r="A11"/>
      <c r="B11" s="484"/>
      <c r="C11" s="484"/>
      <c r="D11"/>
      <c r="F11" s="27"/>
    </row>
    <row r="12" spans="1:13" s="78" customFormat="1" ht="27" customHeight="1" thickBot="1">
      <c r="A12" s="144"/>
      <c r="B12" s="145"/>
      <c r="C12" s="298" t="s">
        <v>337</v>
      </c>
      <c r="D12" s="286"/>
      <c r="E12" s="286"/>
      <c r="F12" s="286"/>
      <c r="G12" s="287"/>
      <c r="H12" s="711" t="s">
        <v>324</v>
      </c>
      <c r="I12" s="712"/>
      <c r="J12" s="713"/>
      <c r="K12" s="711" t="s">
        <v>321</v>
      </c>
      <c r="L12" s="712"/>
      <c r="M12" s="713"/>
    </row>
    <row r="13" spans="1:13" s="150" customFormat="1" ht="69.75" thickBot="1">
      <c r="A13" s="146" t="s">
        <v>71</v>
      </c>
      <c r="B13" s="146" t="s">
        <v>110</v>
      </c>
      <c r="C13" s="147" t="s">
        <v>111</v>
      </c>
      <c r="D13" s="148" t="s">
        <v>112</v>
      </c>
      <c r="E13" s="148" t="s">
        <v>289</v>
      </c>
      <c r="F13" s="148" t="s">
        <v>113</v>
      </c>
      <c r="G13" s="148" t="s">
        <v>385</v>
      </c>
      <c r="H13" s="148" t="s">
        <v>114</v>
      </c>
      <c r="I13" s="148" t="s">
        <v>115</v>
      </c>
      <c r="J13" s="149" t="s">
        <v>116</v>
      </c>
      <c r="K13" s="148" t="s">
        <v>114</v>
      </c>
      <c r="L13" s="148" t="s">
        <v>115</v>
      </c>
      <c r="M13" s="149" t="s">
        <v>116</v>
      </c>
    </row>
    <row r="14" spans="1:13" s="152" customFormat="1" ht="13.5">
      <c r="A14" s="151">
        <v>1</v>
      </c>
      <c r="B14" s="151">
        <v>2</v>
      </c>
      <c r="C14" s="151">
        <v>3</v>
      </c>
      <c r="D14" s="151">
        <v>4</v>
      </c>
      <c r="E14" s="151">
        <v>5</v>
      </c>
      <c r="F14" s="151">
        <v>6</v>
      </c>
      <c r="G14" s="151">
        <v>7</v>
      </c>
      <c r="H14" s="151">
        <v>8</v>
      </c>
      <c r="I14" s="151">
        <v>9</v>
      </c>
      <c r="J14" s="151">
        <v>10</v>
      </c>
      <c r="K14" s="151">
        <v>11</v>
      </c>
      <c r="L14" s="151">
        <v>12</v>
      </c>
      <c r="M14" s="151">
        <v>13</v>
      </c>
    </row>
    <row r="15" spans="1:13" ht="17.25">
      <c r="A15" s="102"/>
      <c r="B15" s="153"/>
      <c r="C15" s="104" t="s">
        <v>1</v>
      </c>
      <c r="D15" s="104" t="s">
        <v>1</v>
      </c>
      <c r="E15" s="290">
        <v>2024</v>
      </c>
      <c r="F15" s="322">
        <v>0.12</v>
      </c>
      <c r="G15" s="104" t="s">
        <v>1</v>
      </c>
      <c r="H15" s="104" t="s">
        <v>1</v>
      </c>
      <c r="I15" s="104" t="s">
        <v>1</v>
      </c>
      <c r="J15" s="104" t="s">
        <v>1</v>
      </c>
      <c r="K15" s="104" t="s">
        <v>1</v>
      </c>
      <c r="L15" s="104" t="s">
        <v>1</v>
      </c>
      <c r="M15" s="104" t="s">
        <v>1</v>
      </c>
    </row>
    <row r="16" spans="1:13" ht="13.5" customHeight="1">
      <c r="A16" s="102"/>
      <c r="B16" s="154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42.75">
      <c r="A17" s="456"/>
      <c r="B17" s="457" t="s">
        <v>382</v>
      </c>
      <c r="C17" s="370" t="s">
        <v>1</v>
      </c>
      <c r="D17" s="370" t="s">
        <v>1</v>
      </c>
      <c r="E17" s="370" t="s">
        <v>1</v>
      </c>
      <c r="F17" s="370" t="s">
        <v>1</v>
      </c>
      <c r="G17" s="370" t="s">
        <v>1</v>
      </c>
      <c r="H17" s="458">
        <f>SUM(H19:H25)</f>
        <v>0</v>
      </c>
      <c r="I17" s="370" t="s">
        <v>1</v>
      </c>
      <c r="J17" s="458">
        <f>SUM(J19:J25)</f>
        <v>0</v>
      </c>
      <c r="K17" s="458">
        <f>SUM(K19:K25)</f>
        <v>0</v>
      </c>
      <c r="L17" s="370" t="s">
        <v>1</v>
      </c>
      <c r="M17" s="458">
        <f>SUM(M19:M25)</f>
        <v>0</v>
      </c>
    </row>
    <row r="18" spans="1:13" ht="13.5">
      <c r="A18" s="102"/>
      <c r="B18" s="154" t="s">
        <v>117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ht="33" customHeight="1">
      <c r="A19" s="56">
        <v>1</v>
      </c>
      <c r="B19" s="80" t="s">
        <v>480</v>
      </c>
      <c r="C19" s="80">
        <v>2013</v>
      </c>
      <c r="D19" s="80">
        <v>13000</v>
      </c>
      <c r="E19" s="80">
        <f>IF(($E$15-C19)*12&gt;100,100,($E$15-C19)*12)</f>
        <v>100</v>
      </c>
      <c r="F19" s="58">
        <f>IF(E19=100,0,D19-D19*E19%)</f>
        <v>0</v>
      </c>
      <c r="G19" s="8" t="s">
        <v>481</v>
      </c>
      <c r="H19" s="80"/>
      <c r="I19" s="80"/>
      <c r="J19" s="58">
        <f>H19*I19</f>
        <v>0</v>
      </c>
      <c r="K19" s="80"/>
      <c r="L19" s="80"/>
      <c r="M19" s="58">
        <f>K19*L19</f>
        <v>0</v>
      </c>
    </row>
    <row r="20" spans="1:13" ht="62.25" customHeight="1">
      <c r="A20" s="56">
        <v>2</v>
      </c>
      <c r="B20" s="80" t="s">
        <v>482</v>
      </c>
      <c r="C20" s="80">
        <v>2014</v>
      </c>
      <c r="D20" s="80">
        <v>10000</v>
      </c>
      <c r="E20" s="80">
        <f aca="true" t="shared" si="0" ref="E20:E25">IF(($E$15-C20)*12&gt;100,100,($E$15-C20)*12)</f>
        <v>100</v>
      </c>
      <c r="F20" s="58">
        <f aca="true" t="shared" si="1" ref="F20:F25">IF(E20=100,0,D20-D20*E20%)</f>
        <v>0</v>
      </c>
      <c r="G20" s="528" t="s">
        <v>844</v>
      </c>
      <c r="H20" s="80"/>
      <c r="I20" s="80"/>
      <c r="J20" s="58">
        <f aca="true" t="shared" si="2" ref="J20:J25">H20*I20</f>
        <v>0</v>
      </c>
      <c r="K20" s="80"/>
      <c r="L20" s="80"/>
      <c r="M20" s="58">
        <f aca="true" t="shared" si="3" ref="M20:M25">K20*L20</f>
        <v>0</v>
      </c>
    </row>
    <row r="21" spans="1:13" ht="66.75" customHeight="1">
      <c r="A21" s="56">
        <v>3</v>
      </c>
      <c r="B21" s="80" t="s">
        <v>482</v>
      </c>
      <c r="C21" s="80">
        <v>2014</v>
      </c>
      <c r="D21" s="80">
        <v>10000</v>
      </c>
      <c r="E21" s="80">
        <f t="shared" si="0"/>
        <v>100</v>
      </c>
      <c r="F21" s="58">
        <f t="shared" si="1"/>
        <v>0</v>
      </c>
      <c r="G21" s="528" t="s">
        <v>483</v>
      </c>
      <c r="H21" s="80"/>
      <c r="I21" s="80"/>
      <c r="J21" s="58">
        <f t="shared" si="2"/>
        <v>0</v>
      </c>
      <c r="K21" s="80"/>
      <c r="L21" s="80"/>
      <c r="M21" s="58">
        <f t="shared" si="3"/>
        <v>0</v>
      </c>
    </row>
    <row r="22" spans="1:13" ht="72.75" customHeight="1">
      <c r="A22" s="102">
        <v>4</v>
      </c>
      <c r="B22" s="80" t="s">
        <v>482</v>
      </c>
      <c r="C22" s="80">
        <v>2014</v>
      </c>
      <c r="D22" s="80">
        <v>10000</v>
      </c>
      <c r="E22" s="80">
        <f t="shared" si="0"/>
        <v>100</v>
      </c>
      <c r="F22" s="58">
        <f t="shared" si="1"/>
        <v>0</v>
      </c>
      <c r="G22" s="623" t="s">
        <v>484</v>
      </c>
      <c r="H22" s="80"/>
      <c r="I22" s="80"/>
      <c r="J22" s="58">
        <f t="shared" si="2"/>
        <v>0</v>
      </c>
      <c r="K22" s="80"/>
      <c r="L22" s="80"/>
      <c r="M22" s="58">
        <f t="shared" si="3"/>
        <v>0</v>
      </c>
    </row>
    <row r="23" spans="1:13" ht="13.5">
      <c r="A23" s="102">
        <v>5</v>
      </c>
      <c r="B23" s="80"/>
      <c r="C23" s="80"/>
      <c r="D23" s="80"/>
      <c r="E23" s="80">
        <f t="shared" si="0"/>
        <v>100</v>
      </c>
      <c r="F23" s="58">
        <f t="shared" si="1"/>
        <v>0</v>
      </c>
      <c r="G23" s="80"/>
      <c r="H23" s="80"/>
      <c r="I23" s="80"/>
      <c r="J23" s="58">
        <f t="shared" si="2"/>
        <v>0</v>
      </c>
      <c r="K23" s="80"/>
      <c r="L23" s="80"/>
      <c r="M23" s="58">
        <f t="shared" si="3"/>
        <v>0</v>
      </c>
    </row>
    <row r="24" spans="1:13" ht="13.5">
      <c r="A24" s="102">
        <v>6</v>
      </c>
      <c r="B24" s="80"/>
      <c r="C24" s="80"/>
      <c r="D24" s="80"/>
      <c r="E24" s="80">
        <f t="shared" si="0"/>
        <v>100</v>
      </c>
      <c r="F24" s="58">
        <f t="shared" si="1"/>
        <v>0</v>
      </c>
      <c r="G24" s="80"/>
      <c r="H24" s="80"/>
      <c r="I24" s="80"/>
      <c r="J24" s="58">
        <f t="shared" si="2"/>
        <v>0</v>
      </c>
      <c r="K24" s="80"/>
      <c r="L24" s="80"/>
      <c r="M24" s="58">
        <f t="shared" si="3"/>
        <v>0</v>
      </c>
    </row>
    <row r="25" spans="1:13" ht="13.5">
      <c r="A25" s="102">
        <v>7</v>
      </c>
      <c r="B25" s="80"/>
      <c r="C25" s="80"/>
      <c r="D25" s="80"/>
      <c r="E25" s="80">
        <f t="shared" si="0"/>
        <v>100</v>
      </c>
      <c r="F25" s="58">
        <f t="shared" si="1"/>
        <v>0</v>
      </c>
      <c r="G25" s="80"/>
      <c r="H25" s="80"/>
      <c r="I25" s="80"/>
      <c r="J25" s="58">
        <f t="shared" si="2"/>
        <v>0</v>
      </c>
      <c r="K25" s="80"/>
      <c r="L25" s="80"/>
      <c r="M25" s="58">
        <f t="shared" si="3"/>
        <v>0</v>
      </c>
    </row>
    <row r="26" spans="1:13" ht="28.5">
      <c r="A26" s="456"/>
      <c r="B26" s="457" t="s">
        <v>383</v>
      </c>
      <c r="C26" s="370" t="s">
        <v>1</v>
      </c>
      <c r="D26" s="370" t="s">
        <v>1</v>
      </c>
      <c r="E26" s="370" t="s">
        <v>1</v>
      </c>
      <c r="F26" s="370" t="s">
        <v>1</v>
      </c>
      <c r="G26" s="370" t="s">
        <v>1</v>
      </c>
      <c r="H26" s="458">
        <f>SUM(H28:H34)</f>
        <v>0</v>
      </c>
      <c r="I26" s="370" t="s">
        <v>1</v>
      </c>
      <c r="J26" s="458">
        <f>SUM(J28:J34)</f>
        <v>0</v>
      </c>
      <c r="K26" s="458">
        <f>SUM(K28:K34)</f>
        <v>0</v>
      </c>
      <c r="L26" s="370" t="s">
        <v>1</v>
      </c>
      <c r="M26" s="458">
        <f>SUM(M28:M34)</f>
        <v>0</v>
      </c>
    </row>
    <row r="27" spans="1:13" ht="13.5">
      <c r="A27" s="102"/>
      <c r="B27" s="154" t="s">
        <v>117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1:13" ht="13.5">
      <c r="A28" s="56">
        <v>1</v>
      </c>
      <c r="B28" s="80"/>
      <c r="C28" s="80"/>
      <c r="D28" s="80"/>
      <c r="E28" s="80">
        <f>IF(($E$15-C28)*12&gt;100,100,($E$15-C28)*12)</f>
        <v>100</v>
      </c>
      <c r="F28" s="58">
        <f aca="true" t="shared" si="4" ref="F28:F34">IF(E28=100,0,D28-D28*E28%)</f>
        <v>0</v>
      </c>
      <c r="G28" s="80"/>
      <c r="H28" s="80"/>
      <c r="I28" s="80"/>
      <c r="J28" s="58">
        <f>H28*I28</f>
        <v>0</v>
      </c>
      <c r="K28" s="80"/>
      <c r="L28" s="80"/>
      <c r="M28" s="58">
        <f>K28*L28</f>
        <v>0</v>
      </c>
    </row>
    <row r="29" spans="1:13" ht="13.5">
      <c r="A29" s="56">
        <v>2</v>
      </c>
      <c r="B29" s="80"/>
      <c r="C29" s="80"/>
      <c r="D29" s="80"/>
      <c r="E29" s="80">
        <f aca="true" t="shared" si="5" ref="E29:E34">IF(($E$15-C29)*12&gt;100,100,($E$15-C29)*12)</f>
        <v>100</v>
      </c>
      <c r="F29" s="58">
        <f t="shared" si="4"/>
        <v>0</v>
      </c>
      <c r="G29" s="80"/>
      <c r="H29" s="80"/>
      <c r="I29" s="80"/>
      <c r="J29" s="58">
        <f aca="true" t="shared" si="6" ref="J29:J34">H29*I29</f>
        <v>0</v>
      </c>
      <c r="K29" s="80"/>
      <c r="L29" s="80"/>
      <c r="M29" s="58">
        <f aca="true" t="shared" si="7" ref="M29:M34">K29*L29</f>
        <v>0</v>
      </c>
    </row>
    <row r="30" spans="1:13" ht="13.5">
      <c r="A30" s="56">
        <v>3</v>
      </c>
      <c r="B30" s="80"/>
      <c r="C30" s="80"/>
      <c r="D30" s="80"/>
      <c r="E30" s="80">
        <f t="shared" si="5"/>
        <v>100</v>
      </c>
      <c r="F30" s="58">
        <f t="shared" si="4"/>
        <v>0</v>
      </c>
      <c r="G30" s="80"/>
      <c r="H30" s="80"/>
      <c r="I30" s="80"/>
      <c r="J30" s="58">
        <f t="shared" si="6"/>
        <v>0</v>
      </c>
      <c r="K30" s="80"/>
      <c r="L30" s="80"/>
      <c r="M30" s="58">
        <f t="shared" si="7"/>
        <v>0</v>
      </c>
    </row>
    <row r="31" spans="1:13" ht="13.5">
      <c r="A31" s="102">
        <v>4</v>
      </c>
      <c r="B31" s="80"/>
      <c r="C31" s="80"/>
      <c r="D31" s="80"/>
      <c r="E31" s="80">
        <f t="shared" si="5"/>
        <v>100</v>
      </c>
      <c r="F31" s="58">
        <f t="shared" si="4"/>
        <v>0</v>
      </c>
      <c r="G31" s="80"/>
      <c r="H31" s="80"/>
      <c r="I31" s="80"/>
      <c r="J31" s="58">
        <f t="shared" si="6"/>
        <v>0</v>
      </c>
      <c r="K31" s="80"/>
      <c r="L31" s="80"/>
      <c r="M31" s="58">
        <f t="shared" si="7"/>
        <v>0</v>
      </c>
    </row>
    <row r="32" spans="1:13" ht="13.5">
      <c r="A32" s="102">
        <v>5</v>
      </c>
      <c r="B32" s="80"/>
      <c r="C32" s="80"/>
      <c r="D32" s="80"/>
      <c r="E32" s="80">
        <f t="shared" si="5"/>
        <v>100</v>
      </c>
      <c r="F32" s="58">
        <f t="shared" si="4"/>
        <v>0</v>
      </c>
      <c r="G32" s="80"/>
      <c r="H32" s="80"/>
      <c r="I32" s="80"/>
      <c r="J32" s="58">
        <f t="shared" si="6"/>
        <v>0</v>
      </c>
      <c r="K32" s="80"/>
      <c r="L32" s="80"/>
      <c r="M32" s="58">
        <f t="shared" si="7"/>
        <v>0</v>
      </c>
    </row>
    <row r="33" spans="1:13" ht="13.5">
      <c r="A33" s="102">
        <v>6</v>
      </c>
      <c r="B33" s="80"/>
      <c r="C33" s="80"/>
      <c r="D33" s="80"/>
      <c r="E33" s="80">
        <f t="shared" si="5"/>
        <v>100</v>
      </c>
      <c r="F33" s="58">
        <f t="shared" si="4"/>
        <v>0</v>
      </c>
      <c r="G33" s="80"/>
      <c r="H33" s="80"/>
      <c r="I33" s="80"/>
      <c r="J33" s="58">
        <f t="shared" si="6"/>
        <v>0</v>
      </c>
      <c r="K33" s="80"/>
      <c r="L33" s="80"/>
      <c r="M33" s="58">
        <f t="shared" si="7"/>
        <v>0</v>
      </c>
    </row>
    <row r="34" spans="1:13" ht="13.5">
      <c r="A34" s="102">
        <v>7</v>
      </c>
      <c r="B34" s="80"/>
      <c r="C34" s="80"/>
      <c r="D34" s="80"/>
      <c r="E34" s="80">
        <f t="shared" si="5"/>
        <v>100</v>
      </c>
      <c r="F34" s="58">
        <f t="shared" si="4"/>
        <v>0</v>
      </c>
      <c r="G34" s="80"/>
      <c r="H34" s="80"/>
      <c r="I34" s="80"/>
      <c r="J34" s="58">
        <f t="shared" si="6"/>
        <v>0</v>
      </c>
      <c r="K34" s="80"/>
      <c r="L34" s="80"/>
      <c r="M34" s="58">
        <f t="shared" si="7"/>
        <v>0</v>
      </c>
    </row>
    <row r="35" spans="1:256" ht="42.75">
      <c r="A35" s="459"/>
      <c r="B35" s="457" t="s">
        <v>384</v>
      </c>
      <c r="C35" s="370" t="s">
        <v>1</v>
      </c>
      <c r="D35" s="370" t="s">
        <v>1</v>
      </c>
      <c r="E35" s="370" t="s">
        <v>1</v>
      </c>
      <c r="F35" s="370" t="s">
        <v>1</v>
      </c>
      <c r="G35" s="370" t="s">
        <v>1</v>
      </c>
      <c r="H35" s="458">
        <f>SUM(H37:H43)</f>
        <v>0</v>
      </c>
      <c r="I35" s="370" t="s">
        <v>1</v>
      </c>
      <c r="J35" s="458">
        <f>SUM(J37:J43)</f>
        <v>0</v>
      </c>
      <c r="K35" s="458">
        <f>SUM(K37:K43)</f>
        <v>0</v>
      </c>
      <c r="L35" s="370" t="s">
        <v>1</v>
      </c>
      <c r="M35" s="458">
        <f>SUM(M37:M43)</f>
        <v>0</v>
      </c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3"/>
      <c r="FB35" s="193"/>
      <c r="FC35" s="193"/>
      <c r="FD35" s="193"/>
      <c r="FE35" s="193"/>
      <c r="FF35" s="193"/>
      <c r="FG35" s="193"/>
      <c r="FH35" s="193"/>
      <c r="FI35" s="193"/>
      <c r="FJ35" s="193"/>
      <c r="FK35" s="193"/>
      <c r="FL35" s="193"/>
      <c r="FM35" s="193"/>
      <c r="FN35" s="193"/>
      <c r="FO35" s="193"/>
      <c r="FP35" s="193"/>
      <c r="FQ35" s="193"/>
      <c r="FR35" s="193"/>
      <c r="FS35" s="193"/>
      <c r="FT35" s="193"/>
      <c r="FU35" s="193"/>
      <c r="FV35" s="193"/>
      <c r="FW35" s="193"/>
      <c r="FX35" s="193"/>
      <c r="FY35" s="193"/>
      <c r="FZ35" s="193"/>
      <c r="GA35" s="193"/>
      <c r="GB35" s="193"/>
      <c r="GC35" s="193"/>
      <c r="GD35" s="193"/>
      <c r="GE35" s="193"/>
      <c r="GF35" s="193"/>
      <c r="GG35" s="193"/>
      <c r="GH35" s="193"/>
      <c r="GI35" s="193"/>
      <c r="GJ35" s="193"/>
      <c r="GK35" s="193"/>
      <c r="GL35" s="193"/>
      <c r="GM35" s="193"/>
      <c r="GN35" s="193"/>
      <c r="GO35" s="193"/>
      <c r="GP35" s="193"/>
      <c r="GQ35" s="193"/>
      <c r="GR35" s="193"/>
      <c r="GS35" s="193"/>
      <c r="GT35" s="193"/>
      <c r="GU35" s="193"/>
      <c r="GV35" s="193"/>
      <c r="GW35" s="193"/>
      <c r="GX35" s="193"/>
      <c r="GY35" s="193"/>
      <c r="GZ35" s="193"/>
      <c r="HA35" s="193"/>
      <c r="HB35" s="193"/>
      <c r="HC35" s="193"/>
      <c r="HD35" s="193"/>
      <c r="HE35" s="193"/>
      <c r="HF35" s="193"/>
      <c r="HG35" s="193"/>
      <c r="HH35" s="193"/>
      <c r="HI35" s="193"/>
      <c r="HJ35" s="193"/>
      <c r="HK35" s="193"/>
      <c r="HL35" s="193"/>
      <c r="HM35" s="193"/>
      <c r="HN35" s="193"/>
      <c r="HO35" s="193"/>
      <c r="HP35" s="193"/>
      <c r="HQ35" s="193"/>
      <c r="HR35" s="193"/>
      <c r="HS35" s="193"/>
      <c r="HT35" s="193"/>
      <c r="HU35" s="193"/>
      <c r="HV35" s="193"/>
      <c r="HW35" s="193"/>
      <c r="HX35" s="193"/>
      <c r="HY35" s="193"/>
      <c r="HZ35" s="193"/>
      <c r="IA35" s="193"/>
      <c r="IB35" s="193"/>
      <c r="IC35" s="193"/>
      <c r="ID35" s="193"/>
      <c r="IE35" s="193"/>
      <c r="IF35" s="193"/>
      <c r="IG35" s="193"/>
      <c r="IH35" s="193"/>
      <c r="II35" s="193"/>
      <c r="IJ35" s="193"/>
      <c r="IK35" s="193"/>
      <c r="IL35" s="193"/>
      <c r="IM35" s="193"/>
      <c r="IN35" s="193"/>
      <c r="IO35" s="193"/>
      <c r="IP35" s="193"/>
      <c r="IQ35" s="193"/>
      <c r="IR35" s="193"/>
      <c r="IS35" s="193"/>
      <c r="IT35" s="193"/>
      <c r="IU35" s="193"/>
      <c r="IV35" s="193"/>
    </row>
    <row r="36" spans="1:13" ht="13.5">
      <c r="A36" s="102"/>
      <c r="B36" s="154" t="s">
        <v>117</v>
      </c>
      <c r="C36" s="80"/>
      <c r="D36" s="80"/>
      <c r="E36" s="80"/>
      <c r="F36" s="58"/>
      <c r="G36" s="80"/>
      <c r="H36" s="80"/>
      <c r="I36" s="80"/>
      <c r="J36" s="58"/>
      <c r="K36" s="80"/>
      <c r="L36" s="80"/>
      <c r="M36" s="58"/>
    </row>
    <row r="37" spans="1:13" ht="13.5">
      <c r="A37" s="102">
        <v>1</v>
      </c>
      <c r="B37" s="80"/>
      <c r="C37" s="80"/>
      <c r="D37" s="80"/>
      <c r="E37" s="80">
        <f aca="true" t="shared" si="8" ref="E37:E43">IF(($E$15-C37)*12&gt;100,100,($E$15-C37)*12)</f>
        <v>100</v>
      </c>
      <c r="F37" s="58">
        <f aca="true" t="shared" si="9" ref="F37:F43">IF(E37=100,0,D37-D37*E37%)</f>
        <v>0</v>
      </c>
      <c r="G37" s="80"/>
      <c r="H37" s="80"/>
      <c r="I37" s="80"/>
      <c r="J37" s="58">
        <f aca="true" t="shared" si="10" ref="J37:J43">H37*I37</f>
        <v>0</v>
      </c>
      <c r="K37" s="80"/>
      <c r="L37" s="80"/>
      <c r="M37" s="58">
        <f aca="true" t="shared" si="11" ref="M37:M43">K37*L37</f>
        <v>0</v>
      </c>
    </row>
    <row r="38" spans="1:13" ht="13.5">
      <c r="A38" s="102">
        <v>2</v>
      </c>
      <c r="B38" s="80"/>
      <c r="C38" s="80"/>
      <c r="D38" s="80"/>
      <c r="E38" s="80">
        <f t="shared" si="8"/>
        <v>100</v>
      </c>
      <c r="F38" s="58">
        <f t="shared" si="9"/>
        <v>0</v>
      </c>
      <c r="G38" s="80"/>
      <c r="H38" s="80"/>
      <c r="I38" s="80"/>
      <c r="J38" s="58">
        <f t="shared" si="10"/>
        <v>0</v>
      </c>
      <c r="K38" s="80"/>
      <c r="L38" s="80"/>
      <c r="M38" s="58">
        <f t="shared" si="11"/>
        <v>0</v>
      </c>
    </row>
    <row r="39" spans="1:13" ht="13.5">
      <c r="A39" s="102">
        <v>3</v>
      </c>
      <c r="B39" s="80"/>
      <c r="C39" s="80"/>
      <c r="D39" s="80"/>
      <c r="E39" s="80">
        <f t="shared" si="8"/>
        <v>100</v>
      </c>
      <c r="F39" s="58">
        <f t="shared" si="9"/>
        <v>0</v>
      </c>
      <c r="G39" s="80"/>
      <c r="H39" s="80"/>
      <c r="I39" s="80"/>
      <c r="J39" s="58">
        <f t="shared" si="10"/>
        <v>0</v>
      </c>
      <c r="K39" s="80"/>
      <c r="L39" s="80"/>
      <c r="M39" s="58">
        <f t="shared" si="11"/>
        <v>0</v>
      </c>
    </row>
    <row r="40" spans="1:13" ht="13.5">
      <c r="A40" s="102">
        <v>4</v>
      </c>
      <c r="B40" s="80"/>
      <c r="C40" s="80"/>
      <c r="D40" s="80"/>
      <c r="E40" s="80">
        <f t="shared" si="8"/>
        <v>100</v>
      </c>
      <c r="F40" s="58">
        <f t="shared" si="9"/>
        <v>0</v>
      </c>
      <c r="G40" s="80"/>
      <c r="H40" s="80"/>
      <c r="I40" s="80"/>
      <c r="J40" s="58">
        <f t="shared" si="10"/>
        <v>0</v>
      </c>
      <c r="K40" s="80"/>
      <c r="L40" s="80"/>
      <c r="M40" s="58">
        <f t="shared" si="11"/>
        <v>0</v>
      </c>
    </row>
    <row r="41" spans="1:13" ht="13.5">
      <c r="A41" s="102">
        <v>5</v>
      </c>
      <c r="B41" s="80"/>
      <c r="C41" s="80"/>
      <c r="D41" s="80"/>
      <c r="E41" s="80">
        <f t="shared" si="8"/>
        <v>100</v>
      </c>
      <c r="F41" s="58">
        <f t="shared" si="9"/>
        <v>0</v>
      </c>
      <c r="G41" s="80"/>
      <c r="H41" s="80"/>
      <c r="I41" s="80"/>
      <c r="J41" s="58">
        <f t="shared" si="10"/>
        <v>0</v>
      </c>
      <c r="K41" s="80"/>
      <c r="L41" s="80"/>
      <c r="M41" s="58">
        <f t="shared" si="11"/>
        <v>0</v>
      </c>
    </row>
    <row r="42" spans="1:13" ht="13.5">
      <c r="A42" s="102">
        <v>6</v>
      </c>
      <c r="B42" s="80"/>
      <c r="C42" s="80"/>
      <c r="D42" s="80"/>
      <c r="E42" s="80">
        <f t="shared" si="8"/>
        <v>100</v>
      </c>
      <c r="F42" s="58">
        <f t="shared" si="9"/>
        <v>0</v>
      </c>
      <c r="G42" s="80"/>
      <c r="H42" s="80"/>
      <c r="I42" s="80"/>
      <c r="J42" s="58">
        <f t="shared" si="10"/>
        <v>0</v>
      </c>
      <c r="K42" s="80"/>
      <c r="L42" s="80"/>
      <c r="M42" s="58">
        <f t="shared" si="11"/>
        <v>0</v>
      </c>
    </row>
    <row r="43" spans="1:13" ht="13.5">
      <c r="A43" s="102">
        <v>7</v>
      </c>
      <c r="B43" s="80"/>
      <c r="C43" s="80"/>
      <c r="D43" s="80"/>
      <c r="E43" s="80">
        <f t="shared" si="8"/>
        <v>100</v>
      </c>
      <c r="F43" s="58">
        <f t="shared" si="9"/>
        <v>0</v>
      </c>
      <c r="G43" s="80"/>
      <c r="H43" s="80"/>
      <c r="I43" s="80"/>
      <c r="J43" s="58">
        <f t="shared" si="10"/>
        <v>0</v>
      </c>
      <c r="K43" s="80"/>
      <c r="L43" s="80"/>
      <c r="M43" s="58">
        <f t="shared" si="11"/>
        <v>0</v>
      </c>
    </row>
    <row r="44" spans="1:13" ht="13.5">
      <c r="A44" s="157"/>
      <c r="B44" s="139"/>
      <c r="C44" s="139"/>
      <c r="D44" s="139"/>
      <c r="E44" s="139"/>
      <c r="F44" s="460"/>
      <c r="G44" s="139"/>
      <c r="H44" s="139"/>
      <c r="I44" s="139"/>
      <c r="J44" s="460"/>
      <c r="K44" s="139"/>
      <c r="L44" s="139"/>
      <c r="M44" s="460"/>
    </row>
    <row r="45" spans="1:13" ht="13.5">
      <c r="A45" s="157"/>
      <c r="B45" s="139"/>
      <c r="C45" s="139"/>
      <c r="D45" s="139"/>
      <c r="E45" s="139"/>
      <c r="F45" s="460"/>
      <c r="G45" s="139"/>
      <c r="H45" s="139"/>
      <c r="I45" s="139"/>
      <c r="J45" s="460"/>
      <c r="K45" s="139"/>
      <c r="L45" s="139"/>
      <c r="M45" s="460"/>
    </row>
    <row r="46" spans="3:5" ht="15.75" customHeight="1">
      <c r="C46" s="488"/>
      <c r="D46" s="488"/>
      <c r="E46" s="488"/>
    </row>
  </sheetData>
  <sheetProtection/>
  <mergeCells count="4">
    <mergeCell ref="H12:J12"/>
    <mergeCell ref="K12:M12"/>
    <mergeCell ref="H2:J2"/>
    <mergeCell ref="B3:E3"/>
  </mergeCells>
  <printOptions/>
  <pageMargins left="0.41" right="0.18" top="0.48" bottom="0.27" header="0.17" footer="0.1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 Shishyan</dc:creator>
  <cp:keywords/>
  <dc:description/>
  <cp:lastModifiedBy>Լաուրա Ավետիքյան</cp:lastModifiedBy>
  <cp:lastPrinted>2023-05-15T07:45:20Z</cp:lastPrinted>
  <dcterms:created xsi:type="dcterms:W3CDTF">2003-05-20T07:22:10Z</dcterms:created>
  <dcterms:modified xsi:type="dcterms:W3CDTF">2023-06-13T08:22:11Z</dcterms:modified>
  <cp:category/>
  <cp:version/>
  <cp:contentType/>
  <cp:contentStatus/>
</cp:coreProperties>
</file>